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8250" activeTab="0"/>
  </bookViews>
  <sheets>
    <sheet name="Activ. judicial" sheetId="1" r:id="rId1"/>
    <sheet name="Planta jud." sheetId="2" r:id="rId2"/>
    <sheet name="OAC" sheetId="3" r:id="rId3"/>
    <sheet name="Recursos humans" sheetId="4" r:id="rId4"/>
    <sheet name="Justícia de pau" sheetId="5" r:id="rId5"/>
    <sheet name="Justícia gratuïta" sheetId="6" r:id="rId6"/>
    <sheet name="Perits" sheetId="7" r:id="rId7"/>
    <sheet name="Servei ling." sheetId="8" r:id="rId8"/>
    <sheet name="Traducció-interpretació" sheetId="9" r:id="rId9"/>
  </sheets>
  <externalReferences>
    <externalReference r:id="rId12"/>
    <externalReference r:id="rId13"/>
  </externalReferences>
  <definedNames>
    <definedName name="_xlnm.Print_Area" localSheetId="3">'Recursos humans'!$A$1:$I$176</definedName>
    <definedName name="D_I">'[1]Criterios'!$B$14</definedName>
    <definedName name="J_V">'[1]Criterios'!$B$13</definedName>
    <definedName name="JV">'[2]Criterios'!$B$13</definedName>
    <definedName name="_xlnm.Print_Titles" localSheetId="3">'Recursos humans'!$1:$1</definedName>
  </definedNames>
  <calcPr fullCalcOnLoad="1"/>
</workbook>
</file>

<file path=xl/sharedStrings.xml><?xml version="1.0" encoding="utf-8"?>
<sst xmlns="http://schemas.openxmlformats.org/spreadsheetml/2006/main" count="1019" uniqueCount="520">
  <si>
    <t>ingressats</t>
  </si>
  <si>
    <r>
      <rPr>
        <b/>
        <sz val="10"/>
        <rFont val="Calibri"/>
        <family val="2"/>
      </rPr>
      <t>±</t>
    </r>
    <r>
      <rPr>
        <b/>
        <sz val="10"/>
        <rFont val="Arial"/>
        <family val="2"/>
      </rPr>
      <t xml:space="preserve"> variació %</t>
    </r>
  </si>
  <si>
    <t>Jutjats de primera instància</t>
  </si>
  <si>
    <t>Jutjats mercantils</t>
  </si>
  <si>
    <t>Jutjats de violència contra la dona</t>
  </si>
  <si>
    <t>Jutjats de família</t>
  </si>
  <si>
    <t>Jutjats de primera instància i instrucció</t>
  </si>
  <si>
    <t>Jutjats de menors</t>
  </si>
  <si>
    <t>Jutjts d'instrucció</t>
  </si>
  <si>
    <t>Jutjats de vigilància penitenciària</t>
  </si>
  <si>
    <t>Jutjats penals</t>
  </si>
  <si>
    <t>Jutjats socials</t>
  </si>
  <si>
    <t>Totals</t>
  </si>
  <si>
    <t>Assumptes gestionats pels òrgans judicials de Catalunya (2011-2012) i variació interanual</t>
  </si>
  <si>
    <t>en tramit a l'inici</t>
  </si>
  <si>
    <t>en tramit al final</t>
  </si>
  <si>
    <t>pendents</t>
  </si>
  <si>
    <t>òrgans</t>
  </si>
  <si>
    <t>ass.x org.</t>
  </si>
  <si>
    <t>(taula nomès per al gràfic de sota)</t>
  </si>
  <si>
    <t>resolts</t>
  </si>
  <si>
    <t>població</t>
  </si>
  <si>
    <t>litigiositat</t>
  </si>
  <si>
    <t>2009</t>
  </si>
  <si>
    <t>2010</t>
  </si>
  <si>
    <t>2011</t>
  </si>
  <si>
    <t>2012</t>
  </si>
  <si>
    <t>habitants x òrgan</t>
  </si>
  <si>
    <t>pendents x òrgan</t>
  </si>
  <si>
    <t>Evolució recent de la litigiositat a Catalunya</t>
  </si>
  <si>
    <t>en tràmit inici 2012</t>
  </si>
  <si>
    <t>en tràmit final 2012</t>
  </si>
  <si>
    <t>± variació %</t>
  </si>
  <si>
    <t>variació % 2012-2011</t>
  </si>
  <si>
    <t>% absolut 2012-2011</t>
  </si>
  <si>
    <t>a l'inici</t>
  </si>
  <si>
    <t>al final</t>
  </si>
  <si>
    <t>2008</t>
  </si>
  <si>
    <t>jurisdiccions</t>
  </si>
  <si>
    <t>Civil</t>
  </si>
  <si>
    <t>Penal</t>
  </si>
  <si>
    <t>Contenciós administratiu</t>
  </si>
  <si>
    <t>Social</t>
  </si>
  <si>
    <t>Subtotals</t>
  </si>
  <si>
    <t>Catalunya</t>
  </si>
  <si>
    <t>Total estatal (exclosos el Tribunal Suprem, els Jutjats Centrals i l'Audiència Nacional)</t>
  </si>
  <si>
    <t>Proporció d'assumptes gestionats pel sistema judicial de Catalunya respecte del totals del sistema judicial estatal</t>
  </si>
  <si>
    <t>gestionats*</t>
  </si>
  <si>
    <t>assumptes pendents al'inici</t>
  </si>
  <si>
    <r>
      <t xml:space="preserve">%Pb CAT1: </t>
    </r>
    <r>
      <rPr>
        <i/>
        <sz val="8"/>
        <color indexed="23"/>
        <rFont val="Arial"/>
        <family val="2"/>
      </rPr>
      <t>percentatge de la població de Catalunya empadronada als municipis del partit</t>
    </r>
  </si>
  <si>
    <r>
      <t xml:space="preserve">%Pb CAT-2: </t>
    </r>
    <r>
      <rPr>
        <i/>
        <sz val="8"/>
        <color indexed="23"/>
        <rFont val="Arial"/>
        <family val="2"/>
      </rPr>
      <t>percentatge de la població de Catalunya (exclosa la ciutat de Barcelona) empadronada als municipis del partit</t>
    </r>
  </si>
  <si>
    <t>%Pb CAT1</t>
  </si>
  <si>
    <t>%Pb CAT-2</t>
  </si>
  <si>
    <t>Barcelona</t>
  </si>
  <si>
    <t>Arenys de Mar</t>
  </si>
  <si>
    <t>Badalona</t>
  </si>
  <si>
    <t>Berga</t>
  </si>
  <si>
    <t>Cerdanyola del Vallès</t>
  </si>
  <si>
    <t>Cornellà</t>
  </si>
  <si>
    <t>Esplugues de Llobregat</t>
  </si>
  <si>
    <t>Gavà</t>
  </si>
  <si>
    <t>Granollers</t>
  </si>
  <si>
    <t>Igualada</t>
  </si>
  <si>
    <t>Manresa</t>
  </si>
  <si>
    <t>Martorell</t>
  </si>
  <si>
    <t>Mataró</t>
  </si>
  <si>
    <t>Mollet del Vallès</t>
  </si>
  <si>
    <t>Rubí</t>
  </si>
  <si>
    <t>Sabadell</t>
  </si>
  <si>
    <t>Terrassa</t>
  </si>
  <si>
    <t>Vic</t>
  </si>
  <si>
    <t>Girona</t>
  </si>
  <si>
    <t>Blanes</t>
  </si>
  <si>
    <t>Figueres</t>
  </si>
  <si>
    <t>La Bisbal</t>
  </si>
  <si>
    <t>Olot</t>
  </si>
  <si>
    <t>Puigcerdà</t>
  </si>
  <si>
    <t>Ripoll</t>
  </si>
  <si>
    <t>Sant Feliu Guíxols</t>
  </si>
  <si>
    <t>Santa Coloma Farners</t>
  </si>
  <si>
    <t>Lleida</t>
  </si>
  <si>
    <t>Balaguer</t>
  </si>
  <si>
    <t>Cervera</t>
  </si>
  <si>
    <t>La Seu d'Urgell</t>
  </si>
  <si>
    <t>Solsona</t>
  </si>
  <si>
    <t>Tremp</t>
  </si>
  <si>
    <t>Vielha e Mijaran</t>
  </si>
  <si>
    <t>Tarragona</t>
  </si>
  <si>
    <t>El Vendrell</t>
  </si>
  <si>
    <t>Falset</t>
  </si>
  <si>
    <t>Reus</t>
  </si>
  <si>
    <t>Valls</t>
  </si>
  <si>
    <t>Terres de l'Ebre</t>
  </si>
  <si>
    <t>Amposta</t>
  </si>
  <si>
    <t>Gandesa</t>
  </si>
  <si>
    <t>Tortosa</t>
  </si>
  <si>
    <t>49 partits</t>
  </si>
  <si>
    <t>Tipus</t>
  </si>
  <si>
    <t>Total general</t>
  </si>
  <si>
    <t>Instrucció</t>
  </si>
  <si>
    <t>1a Instància</t>
  </si>
  <si>
    <t>Penals</t>
  </si>
  <si>
    <t>Menors</t>
  </si>
  <si>
    <t>Vigilància penitenciària</t>
  </si>
  <si>
    <t>Jutjat Degà</t>
  </si>
  <si>
    <t>Registre Civil Exclusiu</t>
  </si>
  <si>
    <t>Jutjats de pau</t>
  </si>
  <si>
    <r>
      <t xml:space="preserve">El jutjat de 1a Instància n.6 de Lleida està assimilat, funcionalment, a un </t>
    </r>
    <r>
      <rPr>
        <b/>
        <i/>
        <sz val="9"/>
        <color indexed="63"/>
        <rFont val="Arial"/>
        <family val="2"/>
      </rPr>
      <t>jutjat mercantil</t>
    </r>
  </si>
  <si>
    <t>Òrgans judicials col·legiats (2010-2012)</t>
  </si>
  <si>
    <t>Tribunal Superior de Justícia de Catalunya</t>
  </si>
  <si>
    <t>Sales</t>
  </si>
  <si>
    <t>totals</t>
  </si>
  <si>
    <t>Civil i Penal</t>
  </si>
  <si>
    <t>Jutges amb adscripció territorial</t>
  </si>
  <si>
    <t>Seccions</t>
  </si>
  <si>
    <t>Planta judicial de Catalunya</t>
  </si>
  <si>
    <t>Barcelona ciutat</t>
  </si>
  <si>
    <t>Magistrats</t>
  </si>
  <si>
    <t>Total</t>
  </si>
  <si>
    <t>Jutjats agrupats</t>
  </si>
  <si>
    <t>Fiscals</t>
  </si>
  <si>
    <t>Advocats fiscals</t>
  </si>
  <si>
    <t>demarcació</t>
  </si>
  <si>
    <t>volum</t>
  </si>
  <si>
    <t>Barcelona comarques</t>
  </si>
  <si>
    <t>Repartiment d’assumptes</t>
  </si>
  <si>
    <t>Informació genèrica sobre procediments</t>
  </si>
  <si>
    <t>Ubicació òrgans judicials i altres</t>
  </si>
  <si>
    <t>Registre d’escrits</t>
  </si>
  <si>
    <t>B</t>
  </si>
  <si>
    <t>C</t>
  </si>
  <si>
    <t>Acollida i direccionament</t>
  </si>
  <si>
    <t>Estat de tramitació dels expedients, assenyalaments i citacions</t>
  </si>
  <si>
    <t>Aclariments sobre documents</t>
  </si>
  <si>
    <t>Localització de professionals</t>
  </si>
  <si>
    <t>Consultes ateses per les OAC (2012), per demarcacions</t>
  </si>
  <si>
    <t>Consultes ateses per les OAC, per tipus</t>
  </si>
  <si>
    <t>Dades generals</t>
  </si>
  <si>
    <t>&gt;7.000 h.</t>
  </si>
  <si>
    <t>&lt;7.000 h.</t>
  </si>
  <si>
    <t xml:space="preserve">      Lleida</t>
  </si>
  <si>
    <t>Plantilles orgàniques</t>
  </si>
  <si>
    <t>Gestió processal (en funcions de secretari/ària)</t>
  </si>
  <si>
    <t>Gestió processal</t>
  </si>
  <si>
    <t>Tramitació</t>
  </si>
  <si>
    <t>Auxili judicial</t>
  </si>
  <si>
    <t>Terres d'Ebre</t>
  </si>
  <si>
    <t>Total Catalunya</t>
  </si>
  <si>
    <t>Àmbit civil</t>
  </si>
  <si>
    <t>Àmbit penal</t>
  </si>
  <si>
    <t>Inscripcions</t>
  </si>
  <si>
    <t>Naixement</t>
  </si>
  <si>
    <t>Matrimoni</t>
  </si>
  <si>
    <t>Defunció</t>
  </si>
  <si>
    <t>Certificats</t>
  </si>
  <si>
    <t>%s/màxim</t>
  </si>
  <si>
    <t>Partits Judicials</t>
  </si>
  <si>
    <t>Municipis</t>
  </si>
  <si>
    <t>Població de Catalunya</t>
  </si>
  <si>
    <t>Nombre de municipis</t>
  </si>
  <si>
    <t>T.Ebre</t>
  </si>
  <si>
    <t>Ceritificacions</t>
  </si>
  <si>
    <t xml:space="preserve">Actuacions </t>
  </si>
  <si>
    <t xml:space="preserve">Gestió col·legial </t>
  </si>
  <si>
    <t>Interessos i devolucions</t>
  </si>
  <si>
    <t>despesa</t>
  </si>
  <si>
    <t>Assistència jurídica gratuïta (2012): actuacions dels professionals i despesa associada</t>
  </si>
  <si>
    <t>Actuacions procediments</t>
  </si>
  <si>
    <t>Assistències al detingut</t>
  </si>
  <si>
    <t>Despeses gestió</t>
  </si>
  <si>
    <t>Gestió</t>
  </si>
  <si>
    <t>±% despesa</t>
  </si>
  <si>
    <t>Advocats</t>
  </si>
  <si>
    <t>Procuradors</t>
  </si>
  <si>
    <t>Total advocats</t>
  </si>
  <si>
    <t>Total procuradors</t>
  </si>
  <si>
    <t>Total despesa</t>
  </si>
  <si>
    <t>Assistència al detingut</t>
  </si>
  <si>
    <t>Servei de guàrdia assistència (fins a 5)</t>
  </si>
  <si>
    <t>Servei de guàrdia assistència (més de 5)</t>
  </si>
  <si>
    <t>Assistències</t>
  </si>
  <si>
    <t>Total assistències al detingut</t>
  </si>
  <si>
    <t>Àmbit contenciós administratiu</t>
  </si>
  <si>
    <t>Àmbit social</t>
  </si>
  <si>
    <t>Normes generals</t>
  </si>
  <si>
    <t>Actuacions procedimentals-assumptes d'ofici</t>
  </si>
  <si>
    <t>Total assumptes d'ofici</t>
  </si>
  <si>
    <t>Total actuacions advocats</t>
  </si>
  <si>
    <t>Despesa en actuacions derivades de la prestació del servei d’assistència jurídica gratuïta</t>
  </si>
  <si>
    <t>Advocats: actuacions derivades de la prestació del servei d’assistència jurídica gratuïta (2011)</t>
  </si>
  <si>
    <t>% actuacions</t>
  </si>
  <si>
    <t>Sant Feliu L.</t>
  </si>
  <si>
    <t>%</t>
  </si>
  <si>
    <t>Resta Barcelona</t>
  </si>
  <si>
    <t>Recurs de cassació</t>
  </si>
  <si>
    <t>% activitat</t>
  </si>
  <si>
    <t>% despesa</t>
  </si>
  <si>
    <t>Advocats: despesa associada a la prestació del servei d’assistència jurídica gratuïta (2011)</t>
  </si>
  <si>
    <t>torn d'ofici</t>
  </si>
  <si>
    <t>Resta BCN</t>
  </si>
  <si>
    <t>col·legis de procuradors</t>
  </si>
  <si>
    <t>gestió</t>
  </si>
  <si>
    <t>(*) suma dels assumptes ressolts i els pendents l'últim dia de l'any</t>
  </si>
  <si>
    <t>Procuradors: despesa, per tipus d'actuació (2011)</t>
  </si>
  <si>
    <t>Despesa en  peritatges (2012 )</t>
  </si>
  <si>
    <t>imports</t>
  </si>
  <si>
    <t xml:space="preserve">Lleida </t>
  </si>
  <si>
    <t xml:space="preserve">Total </t>
  </si>
  <si>
    <t>Evolució de la despesa en  peritatges (2012 )</t>
  </si>
  <si>
    <t>període</t>
  </si>
  <si>
    <t>Béns mobles, vehicles, joies i objectes preciosos</t>
  </si>
  <si>
    <t>40 a 65€</t>
  </si>
  <si>
    <t>Danys a béns immobles</t>
  </si>
  <si>
    <t>70 a 100€</t>
  </si>
  <si>
    <t>Peritatge acordat en execució social</t>
  </si>
  <si>
    <t>110 a 150€</t>
  </si>
  <si>
    <t>Mobiliari</t>
  </si>
  <si>
    <t>Vehicles</t>
  </si>
  <si>
    <t>Immobles</t>
  </si>
  <si>
    <t>Joies i objectes d'art</t>
  </si>
  <si>
    <t>(*) format per sis persones</t>
  </si>
  <si>
    <t>Resta de peritatges</t>
  </si>
  <si>
    <t>Equip* de peritatges propi a la Ciutat de la Justícia: peritatges, per tipus de procediment (2011-2012)</t>
  </si>
  <si>
    <t>Idioma dels documents judicials (2011)</t>
  </si>
  <si>
    <t>% català</t>
  </si>
  <si>
    <t>% castellà</t>
  </si>
  <si>
    <t>Tràmits</t>
  </si>
  <si>
    <t>Barcelona-ciutat</t>
  </si>
  <si>
    <t>Barcelona-comarques</t>
  </si>
  <si>
    <t>Sentències</t>
  </si>
  <si>
    <t>Col·laboració amb professionals del dret: dades relatives als convenis (2011)</t>
  </si>
  <si>
    <t>Inscripcions als cursos de català</t>
  </si>
  <si>
    <t>Tipus de curs</t>
  </si>
  <si>
    <t>Nivell B</t>
  </si>
  <si>
    <t>Nivell C</t>
  </si>
  <si>
    <t>Llenguatge jurídic</t>
  </si>
  <si>
    <t>Ús del traductor automàtic</t>
  </si>
  <si>
    <t>A1</t>
  </si>
  <si>
    <t>A2</t>
  </si>
  <si>
    <t>J</t>
  </si>
  <si>
    <t>Jutges, secretaris i fiscals inscrits a cursos de català</t>
  </si>
  <si>
    <t>Funcionaris de suport judicial inscrits a cursos de català</t>
  </si>
  <si>
    <t>Totals d'inscrits a cursos de català</t>
  </si>
  <si>
    <t>Distribució territorial de les sol·licituds de traduccions i correccions (2011)</t>
  </si>
  <si>
    <t>Cursos de català per al personal de l’Administració de justícia (2011), amb resum d'inscripcions</t>
  </si>
  <si>
    <t>Català</t>
  </si>
  <si>
    <t>Despesa total en traduccions i interpretacions, per demarcacions</t>
  </si>
  <si>
    <t>Actuacions de traducció i interpretació, per demarcacions</t>
  </si>
  <si>
    <t>% act</t>
  </si>
  <si>
    <t>Àrab</t>
  </si>
  <si>
    <t>Romanès</t>
  </si>
  <si>
    <t>Anglès</t>
  </si>
  <si>
    <t>Francès</t>
  </si>
  <si>
    <t>Urdú</t>
  </si>
  <si>
    <t>Xinès</t>
  </si>
  <si>
    <t>Rus</t>
  </si>
  <si>
    <t>Italià</t>
  </si>
  <si>
    <t>idioma</t>
  </si>
  <si>
    <t>% acum</t>
  </si>
  <si>
    <t>Interpretacions, per idiomes</t>
  </si>
  <si>
    <t>Resta d'idiomes</t>
  </si>
  <si>
    <t>serveis</t>
  </si>
  <si>
    <t>Alemany</t>
  </si>
  <si>
    <t>var.posició 11-12</t>
  </si>
  <si>
    <t>―</t>
  </si>
  <si>
    <t>Idiomes amb més interpretacions: variació 2011-2012</t>
  </si>
  <si>
    <t>(*) s'han interpretat 68 idiomes diferents</t>
  </si>
  <si>
    <t>%despesa</t>
  </si>
  <si>
    <t>%serveis</t>
  </si>
  <si>
    <t>Traduccions, per idiomes</t>
  </si>
  <si>
    <t>Idiomes amb més traduccions: variació 2011-2012</t>
  </si>
  <si>
    <t>Jurisdiccions/òrgans</t>
  </si>
  <si>
    <t>Jurisdicció civil</t>
  </si>
  <si>
    <t>Seccions civils de les audiències provincials</t>
  </si>
  <si>
    <t>Sala Civil i Penal del Tribunal Superior de Justícia</t>
  </si>
  <si>
    <t>Jurisdicció penal</t>
  </si>
  <si>
    <t>Seccions penals de les audiències provincials</t>
  </si>
  <si>
    <t>Sala Contenciosa Adm. del TSJC</t>
  </si>
  <si>
    <t>Sala Social del TSJC</t>
  </si>
  <si>
    <t>Jurisdiccó contenciosa administrativa</t>
  </si>
  <si>
    <t>Jutjats contenciosos administratius</t>
  </si>
  <si>
    <t>Jurisdicció social</t>
  </si>
  <si>
    <t>Variació del volum d'assumptes als òrgans judicials de Catalunya (2012-2011)</t>
  </si>
  <si>
    <t>Jurisdicció contenciosa administrativa</t>
  </si>
  <si>
    <t>ass. ingressats</t>
  </si>
  <si>
    <t>ass. resolts</t>
  </si>
  <si>
    <t>ass. pendents al final</t>
  </si>
  <si>
    <t>Proporció d'assumptes gestionats pel sistema judicial de Catalunya respecte del total del sistema judicial estatal</t>
  </si>
  <si>
    <t>(*) suma dels assumptes resolts al llarg de 2012 i els que queden pendents de resoldre l'últim dia de l'any</t>
  </si>
  <si>
    <t>Partits judicials de Catalunya: dades demogràfiques</t>
  </si>
  <si>
    <t>El Prat de Llobregat</t>
  </si>
  <si>
    <t>L'Hospitalet de  Llobregat</t>
  </si>
  <si>
    <t>Sant Boi de Llobregat</t>
  </si>
  <si>
    <t>Sant Feliu de Llobregat</t>
  </si>
  <si>
    <t>Santa Coloma de Gramenet</t>
  </si>
  <si>
    <t>Vilafranca del Penedès</t>
  </si>
  <si>
    <t>Vilanova i la Geltrú</t>
  </si>
  <si>
    <t>Total Barcelona</t>
  </si>
  <si>
    <t>Total Girona</t>
  </si>
  <si>
    <t>Total Lleida</t>
  </si>
  <si>
    <t>Total Tarragona</t>
  </si>
  <si>
    <t>Total Terres de l'Ebre</t>
  </si>
  <si>
    <t>Província</t>
  </si>
  <si>
    <t>Partit judicial</t>
  </si>
  <si>
    <t>Superfície</t>
  </si>
  <si>
    <t>Densitat</t>
  </si>
  <si>
    <t>Nre. de municipis</t>
  </si>
  <si>
    <t>25 partits</t>
  </si>
  <si>
    <t>9 partits</t>
  </si>
  <si>
    <t>7 partits</t>
  </si>
  <si>
    <t>5 partits</t>
  </si>
  <si>
    <t>3 partits</t>
  </si>
  <si>
    <t>Òrgans judicials unipersonals i jutjats de pau (2010-2012), per demarcacions</t>
  </si>
  <si>
    <t>1a Instància i instrucció</t>
  </si>
  <si>
    <t>Violència sobre la dona</t>
  </si>
  <si>
    <t>Mercantil</t>
  </si>
  <si>
    <t>Contenciosa Administrativa</t>
  </si>
  <si>
    <t>Subtotal Tribunal Superior de Justícia de Catalunya</t>
  </si>
  <si>
    <t>Audiències provincials</t>
  </si>
  <si>
    <t>Civils</t>
  </si>
  <si>
    <t>Actualment hi ha 24 oficines d'atenció ciutadana en l’àmbit de l’Administració de justícia, situades a edificis judicials de 22 partits.</t>
  </si>
  <si>
    <t>Demarcació</t>
  </si>
  <si>
    <t>Volum</t>
  </si>
  <si>
    <t>Volums</t>
  </si>
  <si>
    <t>Dotació de personal als jutjats i agrupacions de jutjats de pau, per demarcacions (2011)</t>
  </si>
  <si>
    <t>Jutjats de pau: dades demogràfiques (2011)</t>
  </si>
  <si>
    <t>% municipis amb jutjat de pau</t>
  </si>
  <si>
    <t>Població dels municipis amb jutjat de pau</t>
  </si>
  <si>
    <t>% de la població de Catalunya a municipis amb jutjat de pau</t>
  </si>
  <si>
    <t>Mitjana de població als municipis amb jutjat de pau</t>
  </si>
  <si>
    <t>T. Ebre</t>
  </si>
  <si>
    <t>Població dels municipis AMB jutjat de pau</t>
  </si>
  <si>
    <t>Població dels municipis SENSE jutjat de pau</t>
  </si>
  <si>
    <t>Tipologia de municipis amb jutjat de pau</t>
  </si>
  <si>
    <t>% s/total municipis amb jutjat de pau</t>
  </si>
  <si>
    <t>Habitants dels municipis amb jutjat de pau</t>
  </si>
  <si>
    <t>% de la població total dels municipìs amb jutjat de pau</t>
  </si>
  <si>
    <t>Distribució de jutjats de pau i agrupacions de jutjats de pau, per demarcacions</t>
  </si>
  <si>
    <t>Distribució de jutjats de pau i agrupacions</t>
  </si>
  <si>
    <t>Nombre de jutjats de pau</t>
  </si>
  <si>
    <t>Nombre d'agrupacions de jutjats de pau</t>
  </si>
  <si>
    <t>Activitat processal dels jutjats de pau, per demarcacions i àmbit jurisdiccional (2011)</t>
  </si>
  <si>
    <t>Activitat registral dels jutjats de pau, tipus d'actuació (2011)</t>
  </si>
  <si>
    <t>INFOREG: activitat informatitzada del Registre Civil als jutjats de pau (2011)</t>
  </si>
  <si>
    <t>Total inscripcions</t>
  </si>
  <si>
    <t>Total certificats</t>
  </si>
  <si>
    <t>Total activitat</t>
  </si>
  <si>
    <t>Subvencions atorgades a ajuntaments amb jutjat de pau (2011)</t>
  </si>
  <si>
    <t>Jutjats</t>
  </si>
  <si>
    <t>Import màxim</t>
  </si>
  <si>
    <t>Import rebut</t>
  </si>
  <si>
    <t>Despesa</t>
  </si>
  <si>
    <t>Nombre</t>
  </si>
  <si>
    <t>Assumptes gestionats per les comissions d'assistència jurídica gratuïta (2012)</t>
  </si>
  <si>
    <t>Pend. In.</t>
  </si>
  <si>
    <t>Entrats</t>
  </si>
  <si>
    <t>Resolts</t>
  </si>
  <si>
    <t>Pendents</t>
  </si>
  <si>
    <t>Tot. gestionats*</t>
  </si>
  <si>
    <t>Assumptes resolts per les comissions d'assistència jurídica gratuïta (2008-2012)</t>
  </si>
  <si>
    <t>Serveis d'orientació jurídica</t>
  </si>
  <si>
    <t>Torn d'ofici</t>
  </si>
  <si>
    <t>Col·legi d'advocats</t>
  </si>
  <si>
    <t>Advocats: activitat i despesa, per col·legi d'advocats (2011)</t>
  </si>
  <si>
    <t>Procuradors: actuacions d'assistència jurídica gratuïta (2011)</t>
  </si>
  <si>
    <t>Procuradors: activitat, per col·legi de procuradors (2011)</t>
  </si>
  <si>
    <t>Gerència / Servei territorial</t>
  </si>
  <si>
    <t>Import</t>
  </si>
  <si>
    <t>Despesa en  peritatges, per demarcació (2010-12)</t>
  </si>
  <si>
    <t>Sol·licituds de peritatges d'acord amb tipologia i barems estipulats (2012)</t>
  </si>
  <si>
    <t>Barem</t>
  </si>
  <si>
    <t>Objecte del peritatge</t>
  </si>
  <si>
    <t>Ordinaris</t>
  </si>
  <si>
    <t>De guàrdia</t>
  </si>
  <si>
    <t>Castellà</t>
  </si>
  <si>
    <t>Subtotal tràmits</t>
  </si>
  <si>
    <t>Traduccions</t>
  </si>
  <si>
    <t>Correccions</t>
  </si>
  <si>
    <t>Paraules</t>
  </si>
  <si>
    <t>Documents</t>
  </si>
  <si>
    <t>Castellà-català</t>
  </si>
  <si>
    <t>Català-castellà</t>
  </si>
  <si>
    <t>Nivell</t>
  </si>
  <si>
    <t>Interpretacions</t>
  </si>
  <si>
    <t>I. Signes</t>
  </si>
  <si>
    <t>Idioma</t>
  </si>
  <si>
    <t>Idioma*</t>
  </si>
  <si>
    <t>Serveis</t>
  </si>
  <si>
    <t>Posició</t>
  </si>
  <si>
    <t>(*) S'han traduït 42 idiomes diferents</t>
  </si>
  <si>
    <t>Evolució recent dels assumptes gestionats pels òrgans judicials de Catalunya (2009-2012, per trimestres)</t>
  </si>
  <si>
    <t>Font: IDESCAT</t>
  </si>
  <si>
    <t>Subtotal òrgans judicials col·legiats</t>
  </si>
  <si>
    <t>Total òrgans judicials a Catalunya</t>
  </si>
  <si>
    <t>Font de les dades: Consell General del Poder Judicial</t>
  </si>
  <si>
    <t>Jutjats de violència sobre la dona</t>
  </si>
  <si>
    <t>Nombre d'òrgans judicials a Catalunya: 612</t>
  </si>
  <si>
    <t>Actualització: Juny 2013</t>
  </si>
  <si>
    <t>1. Resum plantilla</t>
  </si>
  <si>
    <t>Categoria</t>
  </si>
  <si>
    <t>Subtotal</t>
  </si>
  <si>
    <t xml:space="preserve">Magistrats </t>
  </si>
  <si>
    <t xml:space="preserve">Jutges                          </t>
  </si>
  <si>
    <t xml:space="preserve">Fiscals                   </t>
  </si>
  <si>
    <t xml:space="preserve">Advocats fiscals        </t>
  </si>
  <si>
    <t xml:space="preserve">Secretaris judicials  </t>
  </si>
  <si>
    <t xml:space="preserve">Secretaris de pau                </t>
  </si>
  <si>
    <t xml:space="preserve">Metges forenses                 </t>
  </si>
  <si>
    <t xml:space="preserve">TOTAL                   </t>
  </si>
  <si>
    <t>2.1. Barcelona</t>
  </si>
  <si>
    <t>Partit Judicial</t>
  </si>
  <si>
    <t>Magistrat</t>
  </si>
  <si>
    <t>Jutge</t>
  </si>
  <si>
    <t>Secretari</t>
  </si>
  <si>
    <t>GP</t>
  </si>
  <si>
    <t>TP</t>
  </si>
  <si>
    <t>AJ</t>
  </si>
  <si>
    <t>Metges F.</t>
  </si>
  <si>
    <t xml:space="preserve">Arenys de Mar        </t>
  </si>
  <si>
    <t xml:space="preserve">Badalona          </t>
  </si>
  <si>
    <t xml:space="preserve">Berga    </t>
  </si>
  <si>
    <t xml:space="preserve">Cornellà de Ll. </t>
  </si>
  <si>
    <t xml:space="preserve">El Prat de Ll.    </t>
  </si>
  <si>
    <t xml:space="preserve">Esplugues de Ll.    </t>
  </si>
  <si>
    <t xml:space="preserve">Gavà               </t>
  </si>
  <si>
    <t xml:space="preserve">Granollers        </t>
  </si>
  <si>
    <t xml:space="preserve">Igualada          </t>
  </si>
  <si>
    <t xml:space="preserve">L'Hospitalet de Ll.  </t>
  </si>
  <si>
    <t xml:space="preserve">Manresa           </t>
  </si>
  <si>
    <t xml:space="preserve">Martorell          </t>
  </si>
  <si>
    <t xml:space="preserve">Mataró             </t>
  </si>
  <si>
    <t xml:space="preserve">Mollet del V.       </t>
  </si>
  <si>
    <t xml:space="preserve">Rubí                 </t>
  </si>
  <si>
    <t xml:space="preserve">Sabadell            </t>
  </si>
  <si>
    <t xml:space="preserve">Sant Boi de Ll.   </t>
  </si>
  <si>
    <t xml:space="preserve">Sant Feliu de Ll.  </t>
  </si>
  <si>
    <t xml:space="preserve">Santa Coloma de G.  </t>
  </si>
  <si>
    <t xml:space="preserve">Terrassa            </t>
  </si>
  <si>
    <t xml:space="preserve">Vic                </t>
  </si>
  <si>
    <t xml:space="preserve">Vilafranca del P.  </t>
  </si>
  <si>
    <t xml:space="preserve">Vilanova i la G.   </t>
  </si>
  <si>
    <t xml:space="preserve">TOTAL PROVÍNCIA      </t>
  </si>
  <si>
    <t>2.2. Girona</t>
  </si>
  <si>
    <t>TPA</t>
  </si>
  <si>
    <t xml:space="preserve">Blanes              </t>
  </si>
  <si>
    <t xml:space="preserve">Figueres            </t>
  </si>
  <si>
    <t xml:space="preserve">Girona            </t>
  </si>
  <si>
    <t>La Bisbal d'Empordà</t>
  </si>
  <si>
    <t xml:space="preserve">Olot              </t>
  </si>
  <si>
    <t xml:space="preserve">Puigcerdà           </t>
  </si>
  <si>
    <t xml:space="preserve">Ripoll              </t>
  </si>
  <si>
    <t xml:space="preserve">Sant Feliu de G.  </t>
  </si>
  <si>
    <t xml:space="preserve">Santa Coloma de F. </t>
  </si>
  <si>
    <t>2.3. Lleida</t>
  </si>
  <si>
    <t xml:space="preserve">Balaguer           </t>
  </si>
  <si>
    <t xml:space="preserve">Cervera          </t>
  </si>
  <si>
    <t xml:space="preserve">La Seu d'Urgell    </t>
  </si>
  <si>
    <t xml:space="preserve">Lleida            </t>
  </si>
  <si>
    <t xml:space="preserve">Solsona        </t>
  </si>
  <si>
    <t xml:space="preserve">Tremp             </t>
  </si>
  <si>
    <t xml:space="preserve">Vielha e Mijaran  </t>
  </si>
  <si>
    <t>2.4. Tarragona</t>
  </si>
  <si>
    <t xml:space="preserve">El Vendrell        </t>
  </si>
  <si>
    <t xml:space="preserve">Falset           </t>
  </si>
  <si>
    <t xml:space="preserve">Reus                </t>
  </si>
  <si>
    <t xml:space="preserve">Tarragona       </t>
  </si>
  <si>
    <t xml:space="preserve">Valls               </t>
  </si>
  <si>
    <t xml:space="preserve">TOTAL    </t>
  </si>
  <si>
    <t>2.5. Terres de l'Ebre</t>
  </si>
  <si>
    <t xml:space="preserve">Amposta            </t>
  </si>
  <si>
    <t xml:space="preserve">Gandesa           </t>
  </si>
  <si>
    <t xml:space="preserve">Tortosa           </t>
  </si>
  <si>
    <t>2.6. Total plantilla òrganica jutjats i tribunals</t>
  </si>
  <si>
    <t xml:space="preserve">Barcelona            </t>
  </si>
  <si>
    <t xml:space="preserve">Lleida          </t>
  </si>
  <si>
    <t xml:space="preserve">TOTAL      </t>
  </si>
  <si>
    <t>3. Plantilles orgàniques adscrites a la Fiscalia (*)</t>
  </si>
  <si>
    <t>Fiscal en cap</t>
  </si>
  <si>
    <t>Tinent fiscal</t>
  </si>
  <si>
    <t xml:space="preserve">TOTAL PERSONAL  </t>
  </si>
  <si>
    <t>(*) Les dades sobre la Fiscalia a Catalunya vénen presentades de forma més detallada a la fitxa 11</t>
  </si>
  <si>
    <t>d'aquesta col.lecció</t>
  </si>
  <si>
    <t>4. Plantilles orgàniques adscrites a jutjats de pau i agrupacions</t>
  </si>
  <si>
    <t>Agrupacions de Secretaries</t>
  </si>
  <si>
    <t>Plantilles</t>
  </si>
  <si>
    <r>
      <t xml:space="preserve">Persones empadronades </t>
    </r>
    <r>
      <rPr>
        <sz val="8"/>
        <rFont val="Arial"/>
        <family val="2"/>
      </rPr>
      <t>2012</t>
    </r>
  </si>
  <si>
    <t>Subtotal òrgans judicials unipersonals</t>
  </si>
  <si>
    <t>Subtotals audiències provincials</t>
  </si>
  <si>
    <t>Dades bàsiques de l'Administració de justícia</t>
  </si>
  <si>
    <t>Fitxa núm. 10: Plantilla orgànica personal de l'Administració de justícia a Catalunya</t>
  </si>
  <si>
    <t>2. Plantilles orgàniques adscrites als jutjats i tribunals desplegats actualment a Catalunya</t>
  </si>
  <si>
    <t>3. Plantilla fiscalies</t>
  </si>
  <si>
    <t>4. Plantilla jutjats de pau i agrupacions de secretaries de jutjats de pau</t>
  </si>
  <si>
    <t xml:space="preserve">Auxili judicial                      </t>
  </si>
  <si>
    <t xml:space="preserve">Tramitació proc. i adm.                    </t>
  </si>
  <si>
    <t>Fiscal cap d'àrea</t>
  </si>
  <si>
    <t>Fiscal cap</t>
  </si>
  <si>
    <t>Fiscal superior</t>
  </si>
  <si>
    <t>1. Resum plantilla orgànica a Catalunya (inclou personal de jutjats i tribunals + jutjats de pau + fiscalia)</t>
  </si>
  <si>
    <t>Fiscalia de la CA de Catalunya</t>
  </si>
  <si>
    <t>Fiscalia provincial</t>
  </si>
  <si>
    <t>Fiscalia d'àrea</t>
  </si>
  <si>
    <t>Seccions territorials</t>
  </si>
  <si>
    <t>Tramitació processal i adm.</t>
  </si>
  <si>
    <t>Jutjats de pau i agrupacions</t>
  </si>
  <si>
    <t>Jutjat de pau</t>
  </si>
  <si>
    <t>Agrupacions de secretaries</t>
  </si>
  <si>
    <t>Jutjats de pau:</t>
  </si>
  <si>
    <t xml:space="preserve">                       Secretaris pau</t>
  </si>
  <si>
    <t xml:space="preserve">                       Gestió processal</t>
  </si>
  <si>
    <t xml:space="preserve">                       Tramitació processal i adm.</t>
  </si>
  <si>
    <t xml:space="preserve">                       Auxili judicial</t>
  </si>
  <si>
    <t>2n trim.</t>
  </si>
  <si>
    <t>3r trim.</t>
  </si>
  <si>
    <t>4t trim.</t>
  </si>
  <si>
    <t xml:space="preserve">   2009     1r trim.</t>
  </si>
  <si>
    <t xml:space="preserve">   2010     1r trim.</t>
  </si>
  <si>
    <t xml:space="preserve">   2011     1r trim.</t>
  </si>
  <si>
    <t xml:space="preserve">   2012     1r trim.</t>
  </si>
  <si>
    <t>Llista de municipis que formen part de cada partit judicial (PDF)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</si>
</sst>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"/>
    <numFmt numFmtId="166" formatCode="&quot;+&quot;0.0\ %;\-0.0\ %"/>
    <numFmt numFmtId="167" formatCode="#,##0.0"/>
    <numFmt numFmtId="168" formatCode="#,##0.0_);\(#,##0.0\)"/>
    <numFmt numFmtId="169" formatCode="&quot;Sí&quot;;&quot;Sí&quot;;&quot;No&quot;"/>
    <numFmt numFmtId="170" formatCode="&quot;Cert&quot;;&quot;Cert&quot;;&quot;Fals&quot;"/>
    <numFmt numFmtId="171" formatCode="&quot;Activat&quot;;&quot;Activat&quot;;&quot;Desactivat&quot;"/>
    <numFmt numFmtId="172" formatCode="[$€-2]\ #.##000_);[Red]\([$€-2]\ #.##000\)"/>
    <numFmt numFmtId="173" formatCode="0.00&quot;%&quot;"/>
    <numFmt numFmtId="174" formatCode="#,##0\ &quot;€&quot;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0\ &quot;€&quot;"/>
    <numFmt numFmtId="187" formatCode="&quot;+&quot;#,##0\ &quot;€&quot;;\-#,##0\ &quot;€&quot;"/>
    <numFmt numFmtId="188" formatCode="&quot;+&quot;0.0%;\-0.0\ %"/>
    <numFmt numFmtId="189" formatCode="&quot;+&quot;0.0%;\-0.0%"/>
    <numFmt numFmtId="190" formatCode="#,##0\ _€"/>
    <numFmt numFmtId="191" formatCode="#,##0.0\ &quot;€&quot;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-* #,##0\ _P_T_A_-;\-* #,##0\ _P_T_A_-;_-* &quot;-&quot;\ _P_T_A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0_)"/>
  </numFmts>
  <fonts count="7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3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55"/>
      <name val="Arial"/>
      <family val="2"/>
    </font>
    <font>
      <b/>
      <sz val="11"/>
      <color indexed="23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9"/>
      <color indexed="63"/>
      <name val="Arial"/>
      <family val="2"/>
    </font>
    <font>
      <b/>
      <i/>
      <sz val="9"/>
      <color indexed="63"/>
      <name val="Arial"/>
      <family val="2"/>
    </font>
    <font>
      <b/>
      <sz val="9"/>
      <name val="Arial"/>
      <family val="2"/>
    </font>
    <font>
      <i/>
      <sz val="10"/>
      <color indexed="5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62"/>
      <name val="Arial"/>
      <family val="2"/>
    </font>
    <font>
      <b/>
      <i/>
      <sz val="10.1"/>
      <color indexed="23"/>
      <name val="Arial"/>
      <family val="2"/>
    </font>
    <font>
      <b/>
      <sz val="11"/>
      <color indexed="62"/>
      <name val="Arial"/>
      <family val="2"/>
    </font>
    <font>
      <b/>
      <sz val="10"/>
      <color indexed="55"/>
      <name val="Arial monospaced for SAP"/>
      <family val="3"/>
    </font>
    <font>
      <sz val="9"/>
      <color indexed="55"/>
      <name val="Arial Narrow"/>
      <family val="2"/>
    </font>
    <font>
      <sz val="10"/>
      <color indexed="55"/>
      <name val="Arial"/>
      <family val="2"/>
    </font>
    <font>
      <sz val="10"/>
      <color indexed="8"/>
      <name val="Calibri"/>
      <family val="2"/>
    </font>
    <font>
      <b/>
      <sz val="12"/>
      <color indexed="23"/>
      <name val="Arial"/>
      <family val="2"/>
    </font>
    <font>
      <b/>
      <sz val="9"/>
      <color indexed="23"/>
      <name val="Arial"/>
      <family val="2"/>
    </font>
    <font>
      <b/>
      <sz val="8.75"/>
      <color indexed="23"/>
      <name val="Arial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i/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9"/>
      <color indexed="23"/>
      <name val="Arial"/>
      <family val="2"/>
    </font>
    <font>
      <sz val="12"/>
      <name val="Arial"/>
      <family val="2"/>
    </font>
    <font>
      <b/>
      <sz val="11"/>
      <color indexed="13"/>
      <name val="Calibri"/>
      <family val="2"/>
    </font>
    <font>
      <b/>
      <sz val="8"/>
      <color indexed="23"/>
      <name val="Arial"/>
      <family val="2"/>
    </font>
    <font>
      <b/>
      <sz val="9"/>
      <name val="Arial monospaced for SAP"/>
      <family val="3"/>
    </font>
    <font>
      <sz val="9"/>
      <name val="Arial monospaced for SAP"/>
      <family val="3"/>
    </font>
    <font>
      <sz val="11"/>
      <name val="Verdana"/>
      <family val="2"/>
    </font>
    <font>
      <sz val="9.5"/>
      <name val="Arial"/>
      <family val="0"/>
    </font>
    <font>
      <sz val="9.75"/>
      <name val="Arial"/>
      <family val="0"/>
    </font>
    <font>
      <sz val="10.25"/>
      <name val="Arial"/>
      <family val="0"/>
    </font>
    <font>
      <i/>
      <sz val="10"/>
      <color indexed="55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color indexed="18"/>
      <name val="Arial"/>
      <family val="2"/>
    </font>
    <font>
      <b/>
      <sz val="10"/>
      <color indexed="63"/>
      <name val="Verdana"/>
      <family val="2"/>
    </font>
    <font>
      <b/>
      <sz val="12"/>
      <color indexed="9"/>
      <name val="Arial"/>
      <family val="2"/>
    </font>
    <font>
      <sz val="10"/>
      <color indexed="10"/>
      <name val="Arial"/>
      <family val="0"/>
    </font>
    <font>
      <sz val="10"/>
      <name val="Courier"/>
      <family val="0"/>
    </font>
    <font>
      <b/>
      <u val="single"/>
      <sz val="12"/>
      <name val="Arial"/>
      <family val="2"/>
    </font>
    <font>
      <u val="single"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/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thin"/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medium"/>
    </border>
    <border>
      <left style="dashed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>
      <alignment/>
      <protection/>
    </xf>
    <xf numFmtId="0" fontId="23" fillId="0" borderId="0">
      <alignment/>
      <protection/>
    </xf>
    <xf numFmtId="0" fontId="55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3" xfId="0" applyBorder="1" applyAlignment="1" quotePrefix="1">
      <alignment/>
    </xf>
    <xf numFmtId="3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1" xfId="0" applyBorder="1" applyAlignment="1" quotePrefix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 quotePrefix="1">
      <alignment/>
    </xf>
    <xf numFmtId="165" fontId="0" fillId="0" borderId="2" xfId="0" applyNumberForma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166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18" fillId="0" borderId="4" xfId="0" applyFont="1" applyFill="1" applyBorder="1" applyAlignment="1">
      <alignment/>
    </xf>
    <xf numFmtId="166" fontId="18" fillId="0" borderId="5" xfId="0" applyNumberFormat="1" applyFont="1" applyFill="1" applyBorder="1" applyAlignment="1">
      <alignment/>
    </xf>
    <xf numFmtId="166" fontId="18" fillId="0" borderId="6" xfId="0" applyNumberFormat="1" applyFont="1" applyFill="1" applyBorder="1" applyAlignment="1">
      <alignment/>
    </xf>
    <xf numFmtId="166" fontId="18" fillId="0" borderId="7" xfId="0" applyNumberFormat="1" applyFont="1" applyFill="1" applyBorder="1" applyAlignment="1">
      <alignment/>
    </xf>
    <xf numFmtId="166" fontId="18" fillId="0" borderId="8" xfId="0" applyNumberFormat="1" applyFont="1" applyFill="1" applyBorder="1" applyAlignment="1">
      <alignment/>
    </xf>
    <xf numFmtId="166" fontId="18" fillId="0" borderId="9" xfId="0" applyNumberFormat="1" applyFont="1" applyFill="1" applyBorder="1" applyAlignment="1">
      <alignment/>
    </xf>
    <xf numFmtId="166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" xfId="0" applyFont="1" applyFill="1" applyBorder="1" applyAlignment="1">
      <alignment/>
    </xf>
    <xf numFmtId="0" fontId="18" fillId="0" borderId="2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166" fontId="18" fillId="0" borderId="11" xfId="0" applyNumberFormat="1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168" fontId="0" fillId="2" borderId="3" xfId="0" applyNumberFormat="1" applyFont="1" applyFill="1" applyBorder="1" applyAlignment="1" applyProtection="1">
      <alignment/>
      <protection/>
    </xf>
    <xf numFmtId="41" fontId="0" fillId="2" borderId="3" xfId="18" applyFont="1" applyFill="1" applyBorder="1" applyAlignment="1" applyProtection="1">
      <alignment/>
      <protection/>
    </xf>
    <xf numFmtId="3" fontId="0" fillId="2" borderId="3" xfId="0" applyNumberFormat="1" applyFont="1" applyFill="1" applyBorder="1" applyAlignment="1" applyProtection="1">
      <alignment/>
      <protection/>
    </xf>
    <xf numFmtId="167" fontId="0" fillId="2" borderId="3" xfId="17" applyNumberFormat="1" applyFont="1" applyFill="1" applyBorder="1" applyAlignment="1" applyProtection="1">
      <alignment/>
      <protection/>
    </xf>
    <xf numFmtId="167" fontId="0" fillId="2" borderId="3" xfId="17" applyNumberFormat="1" applyFont="1" applyFill="1" applyBorder="1" applyAlignment="1" applyProtection="1">
      <alignment/>
      <protection/>
    </xf>
    <xf numFmtId="164" fontId="0" fillId="2" borderId="3" xfId="17" applyNumberFormat="1" applyFont="1" applyFill="1" applyBorder="1" applyAlignment="1" applyProtection="1">
      <alignment/>
      <protection/>
    </xf>
    <xf numFmtId="1" fontId="0" fillId="2" borderId="3" xfId="17" applyNumberFormat="1" applyFont="1" applyFill="1" applyBorder="1" applyAlignment="1" applyProtection="1">
      <alignment/>
      <protection/>
    </xf>
    <xf numFmtId="168" fontId="0" fillId="2" borderId="1" xfId="0" applyNumberFormat="1" applyFont="1" applyFill="1" applyBorder="1" applyAlignment="1" applyProtection="1">
      <alignment/>
      <protection/>
    </xf>
    <xf numFmtId="41" fontId="0" fillId="2" borderId="1" xfId="18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/>
      <protection/>
    </xf>
    <xf numFmtId="167" fontId="0" fillId="2" borderId="1" xfId="17" applyNumberFormat="1" applyFont="1" applyFill="1" applyBorder="1" applyAlignment="1" applyProtection="1">
      <alignment/>
      <protection/>
    </xf>
    <xf numFmtId="167" fontId="0" fillId="2" borderId="1" xfId="17" applyNumberFormat="1" applyFont="1" applyFill="1" applyBorder="1" applyAlignment="1" applyProtection="1">
      <alignment/>
      <protection/>
    </xf>
    <xf numFmtId="164" fontId="0" fillId="2" borderId="1" xfId="17" applyNumberFormat="1" applyFont="1" applyFill="1" applyBorder="1" applyAlignment="1" applyProtection="1">
      <alignment/>
      <protection/>
    </xf>
    <xf numFmtId="1" fontId="0" fillId="2" borderId="1" xfId="17" applyNumberFormat="1" applyFont="1" applyFill="1" applyBorder="1" applyAlignment="1" applyProtection="1">
      <alignment/>
      <protection/>
    </xf>
    <xf numFmtId="168" fontId="0" fillId="2" borderId="12" xfId="0" applyNumberFormat="1" applyFont="1" applyFill="1" applyBorder="1" applyAlignment="1" applyProtection="1">
      <alignment/>
      <protection/>
    </xf>
    <xf numFmtId="41" fontId="0" fillId="2" borderId="12" xfId="18" applyFont="1" applyFill="1" applyBorder="1" applyAlignment="1" applyProtection="1">
      <alignment/>
      <protection/>
    </xf>
    <xf numFmtId="3" fontId="0" fillId="2" borderId="12" xfId="0" applyNumberFormat="1" applyFont="1" applyFill="1" applyBorder="1" applyAlignment="1" applyProtection="1">
      <alignment/>
      <protection/>
    </xf>
    <xf numFmtId="167" fontId="0" fillId="2" borderId="12" xfId="17" applyNumberFormat="1" applyFont="1" applyFill="1" applyBorder="1" applyAlignment="1" applyProtection="1">
      <alignment/>
      <protection/>
    </xf>
    <xf numFmtId="167" fontId="0" fillId="2" borderId="12" xfId="17" applyNumberFormat="1" applyFont="1" applyFill="1" applyBorder="1" applyAlignment="1" applyProtection="1">
      <alignment/>
      <protection/>
    </xf>
    <xf numFmtId="164" fontId="0" fillId="2" borderId="12" xfId="17" applyNumberFormat="1" applyFont="1" applyFill="1" applyBorder="1" applyAlignment="1" applyProtection="1">
      <alignment/>
      <protection/>
    </xf>
    <xf numFmtId="1" fontId="0" fillId="2" borderId="12" xfId="17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right"/>
    </xf>
    <xf numFmtId="0" fontId="17" fillId="0" borderId="14" xfId="0" applyFont="1" applyBorder="1" applyAlignment="1">
      <alignment/>
    </xf>
    <xf numFmtId="3" fontId="17" fillId="0" borderId="14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34" fillId="0" borderId="0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17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7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173" fontId="8" fillId="0" borderId="2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/>
    </xf>
    <xf numFmtId="3" fontId="0" fillId="0" borderId="15" xfId="0" applyNumberFormat="1" applyBorder="1" applyAlignment="1">
      <alignment/>
    </xf>
    <xf numFmtId="0" fontId="42" fillId="0" borderId="15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 wrapText="1"/>
    </xf>
    <xf numFmtId="3" fontId="44" fillId="0" borderId="15" xfId="0" applyNumberFormat="1" applyFont="1" applyFill="1" applyBorder="1" applyAlignment="1">
      <alignment horizontal="right" vertical="center"/>
    </xf>
    <xf numFmtId="3" fontId="44" fillId="0" borderId="15" xfId="0" applyNumberFormat="1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74" fontId="8" fillId="0" borderId="3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174" fontId="8" fillId="0" borderId="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4" fontId="2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/>
    </xf>
    <xf numFmtId="6" fontId="16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190" fontId="16" fillId="0" borderId="1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8" fillId="0" borderId="3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74" fontId="0" fillId="0" borderId="0" xfId="0" applyNumberFormat="1" applyAlignment="1">
      <alignment/>
    </xf>
    <xf numFmtId="0" fontId="58" fillId="0" borderId="17" xfId="0" applyFont="1" applyFill="1" applyBorder="1" applyAlignment="1">
      <alignment vertical="top" wrapText="1"/>
    </xf>
    <xf numFmtId="0" fontId="58" fillId="0" borderId="17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/>
    </xf>
    <xf numFmtId="174" fontId="59" fillId="0" borderId="18" xfId="0" applyNumberFormat="1" applyFont="1" applyFill="1" applyBorder="1" applyAlignment="1">
      <alignment horizontal="right"/>
    </xf>
    <xf numFmtId="3" fontId="59" fillId="0" borderId="18" xfId="0" applyNumberFormat="1" applyFont="1" applyFill="1" applyBorder="1" applyAlignment="1">
      <alignment horizontal="right"/>
    </xf>
    <xf numFmtId="164" fontId="59" fillId="0" borderId="18" xfId="0" applyNumberFormat="1" applyFont="1" applyFill="1" applyBorder="1" applyAlignment="1">
      <alignment horizontal="right"/>
    </xf>
    <xf numFmtId="0" fontId="59" fillId="0" borderId="15" xfId="0" applyFont="1" applyFill="1" applyBorder="1" applyAlignment="1">
      <alignment/>
    </xf>
    <xf numFmtId="174" fontId="59" fillId="0" borderId="15" xfId="0" applyNumberFormat="1" applyFont="1" applyFill="1" applyBorder="1" applyAlignment="1">
      <alignment horizontal="right"/>
    </xf>
    <xf numFmtId="3" fontId="59" fillId="0" borderId="15" xfId="0" applyNumberFormat="1" applyFont="1" applyFill="1" applyBorder="1" applyAlignment="1">
      <alignment horizontal="right"/>
    </xf>
    <xf numFmtId="164" fontId="59" fillId="0" borderId="15" xfId="0" applyNumberFormat="1" applyFont="1" applyFill="1" applyBorder="1" applyAlignment="1">
      <alignment horizontal="right"/>
    </xf>
    <xf numFmtId="0" fontId="59" fillId="0" borderId="19" xfId="0" applyFont="1" applyFill="1" applyBorder="1" applyAlignment="1">
      <alignment/>
    </xf>
    <xf numFmtId="174" fontId="59" fillId="0" borderId="19" xfId="0" applyNumberFormat="1" applyFont="1" applyFill="1" applyBorder="1" applyAlignment="1">
      <alignment horizontal="right"/>
    </xf>
    <xf numFmtId="3" fontId="59" fillId="0" borderId="19" xfId="0" applyNumberFormat="1" applyFont="1" applyFill="1" applyBorder="1" applyAlignment="1">
      <alignment horizontal="right"/>
    </xf>
    <xf numFmtId="164" fontId="59" fillId="0" borderId="19" xfId="0" applyNumberFormat="1" applyFont="1" applyFill="1" applyBorder="1" applyAlignment="1">
      <alignment horizontal="right"/>
    </xf>
    <xf numFmtId="0" fontId="58" fillId="0" borderId="20" xfId="0" applyFont="1" applyFill="1" applyBorder="1" applyAlignment="1">
      <alignment horizontal="justify" vertical="top" wrapText="1"/>
    </xf>
    <xf numFmtId="174" fontId="58" fillId="0" borderId="20" xfId="0" applyNumberFormat="1" applyFont="1" applyFill="1" applyBorder="1" applyAlignment="1">
      <alignment horizontal="right" vertical="top" wrapText="1"/>
    </xf>
    <xf numFmtId="3" fontId="58" fillId="0" borderId="20" xfId="0" applyNumberFormat="1" applyFont="1" applyFill="1" applyBorder="1" applyAlignment="1">
      <alignment horizontal="right" vertical="top" wrapText="1"/>
    </xf>
    <xf numFmtId="164" fontId="58" fillId="0" borderId="20" xfId="0" applyNumberFormat="1" applyFont="1" applyFill="1" applyBorder="1" applyAlignment="1">
      <alignment horizontal="right"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 horizontal="right"/>
    </xf>
    <xf numFmtId="164" fontId="11" fillId="0" borderId="3" xfId="24" applyNumberFormat="1" applyFont="1" applyBorder="1" applyAlignment="1">
      <alignment horizontal="right"/>
    </xf>
    <xf numFmtId="164" fontId="11" fillId="0" borderId="3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164" fontId="11" fillId="0" borderId="1" xfId="24" applyNumberFormat="1" applyFont="1" applyBorder="1" applyAlignment="1">
      <alignment horizontal="right"/>
    </xf>
    <xf numFmtId="164" fontId="11" fillId="0" borderId="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3" fontId="16" fillId="0" borderId="15" xfId="0" applyNumberFormat="1" applyFont="1" applyBorder="1" applyAlignment="1">
      <alignment horizontal="right"/>
    </xf>
    <xf numFmtId="0" fontId="16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57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0" fillId="0" borderId="0" xfId="0" applyFont="1" applyAlignment="1">
      <alignment/>
    </xf>
    <xf numFmtId="0" fontId="60" fillId="0" borderId="1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9" fontId="8" fillId="0" borderId="13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60" fillId="0" borderId="2" xfId="0" applyFont="1" applyBorder="1" applyAlignment="1">
      <alignment horizontal="center"/>
    </xf>
    <xf numFmtId="167" fontId="28" fillId="0" borderId="0" xfId="18" applyNumberFormat="1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10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0" fillId="0" borderId="3" xfId="18" applyNumberFormat="1" applyFont="1" applyFill="1" applyBorder="1" applyAlignment="1">
      <alignment horizontal="left"/>
    </xf>
    <xf numFmtId="3" fontId="0" fillId="0" borderId="3" xfId="18" applyNumberFormat="1" applyFont="1" applyFill="1" applyBorder="1" applyAlignment="1">
      <alignment horizontal="right" shrinkToFit="1"/>
    </xf>
    <xf numFmtId="3" fontId="0" fillId="0" borderId="1" xfId="18" applyNumberFormat="1" applyFont="1" applyFill="1" applyBorder="1" applyAlignment="1">
      <alignment horizontal="left"/>
    </xf>
    <xf numFmtId="3" fontId="0" fillId="0" borderId="1" xfId="18" applyNumberFormat="1" applyFont="1" applyFill="1" applyBorder="1" applyAlignment="1">
      <alignment horizontal="right" shrinkToFit="1"/>
    </xf>
    <xf numFmtId="4" fontId="0" fillId="0" borderId="1" xfId="18" applyNumberFormat="1" applyFont="1" applyFill="1" applyBorder="1" applyAlignment="1">
      <alignment horizontal="right" shrinkToFit="1"/>
    </xf>
    <xf numFmtId="3" fontId="0" fillId="0" borderId="2" xfId="18" applyNumberFormat="1" applyFont="1" applyFill="1" applyBorder="1" applyAlignment="1">
      <alignment horizontal="left"/>
    </xf>
    <xf numFmtId="3" fontId="0" fillId="0" borderId="2" xfId="18" applyNumberFormat="1" applyFont="1" applyFill="1" applyBorder="1" applyAlignment="1">
      <alignment horizontal="right" shrinkToFit="1"/>
    </xf>
    <xf numFmtId="4" fontId="0" fillId="0" borderId="2" xfId="18" applyNumberFormat="1" applyFont="1" applyFill="1" applyBorder="1" applyAlignment="1">
      <alignment horizontal="right" shrinkToFit="1"/>
    </xf>
    <xf numFmtId="3" fontId="2" fillId="0" borderId="0" xfId="22" applyNumberFormat="1" applyFont="1" applyFill="1" applyBorder="1" applyAlignment="1">
      <alignment vertical="center"/>
      <protection/>
    </xf>
    <xf numFmtId="3" fontId="2" fillId="0" borderId="0" xfId="22" applyNumberFormat="1" applyFont="1" applyFill="1" applyBorder="1" applyAlignment="1">
      <alignment horizontal="right" vertical="center" shrinkToFit="1"/>
      <protection/>
    </xf>
    <xf numFmtId="4" fontId="2" fillId="0" borderId="0" xfId="22" applyNumberFormat="1" applyFont="1" applyFill="1" applyBorder="1" applyAlignment="1">
      <alignment horizontal="right" vertical="center" shrinkToFit="1"/>
      <protection/>
    </xf>
    <xf numFmtId="3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17" fillId="0" borderId="3" xfId="18" applyNumberFormat="1" applyFont="1" applyFill="1" applyBorder="1" applyAlignment="1">
      <alignment horizontal="left"/>
    </xf>
    <xf numFmtId="164" fontId="17" fillId="0" borderId="3" xfId="0" applyNumberFormat="1" applyFont="1" applyBorder="1" applyAlignment="1">
      <alignment/>
    </xf>
    <xf numFmtId="3" fontId="17" fillId="0" borderId="1" xfId="18" applyNumberFormat="1" applyFont="1" applyFill="1" applyBorder="1" applyAlignment="1">
      <alignment horizontal="left"/>
    </xf>
    <xf numFmtId="164" fontId="17" fillId="0" borderId="1" xfId="0" applyNumberFormat="1" applyFont="1" applyBorder="1" applyAlignment="1">
      <alignment/>
    </xf>
    <xf numFmtId="3" fontId="17" fillId="0" borderId="2" xfId="18" applyNumberFormat="1" applyFont="1" applyFill="1" applyBorder="1" applyAlignment="1">
      <alignment horizontal="left"/>
    </xf>
    <xf numFmtId="164" fontId="1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0" fontId="64" fillId="0" borderId="0" xfId="0" applyNumberFormat="1" applyFont="1" applyAlignment="1">
      <alignment/>
    </xf>
    <xf numFmtId="3" fontId="2" fillId="0" borderId="0" xfId="18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3" fontId="27" fillId="0" borderId="0" xfId="18" applyNumberFormat="1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3" fontId="30" fillId="0" borderId="0" xfId="18" applyNumberFormat="1" applyFont="1" applyFill="1" applyBorder="1" applyAlignment="1" applyProtection="1">
      <alignment horizontal="center" vertical="center" wrapText="1"/>
      <protection/>
    </xf>
    <xf numFmtId="167" fontId="30" fillId="0" borderId="0" xfId="17" applyNumberFormat="1" applyFont="1" applyFill="1" applyBorder="1" applyAlignment="1" applyProtection="1">
      <alignment horizontal="center" vertical="center" wrapText="1"/>
      <protection/>
    </xf>
    <xf numFmtId="167" fontId="30" fillId="0" borderId="0" xfId="18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/>
    </xf>
    <xf numFmtId="168" fontId="2" fillId="0" borderId="1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167" fontId="2" fillId="0" borderId="1" xfId="17" applyNumberFormat="1" applyFont="1" applyFill="1" applyBorder="1" applyAlignment="1" applyProtection="1">
      <alignment/>
      <protection/>
    </xf>
    <xf numFmtId="167" fontId="2" fillId="0" borderId="1" xfId="17" applyNumberFormat="1" applyFont="1" applyFill="1" applyBorder="1" applyAlignment="1" applyProtection="1">
      <alignment/>
      <protection/>
    </xf>
    <xf numFmtId="164" fontId="2" fillId="0" borderId="1" xfId="17" applyNumberFormat="1" applyFont="1" applyFill="1" applyBorder="1" applyAlignment="1" applyProtection="1">
      <alignment/>
      <protection/>
    </xf>
    <xf numFmtId="1" fontId="2" fillId="0" borderId="1" xfId="17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>
      <alignment horizontal="center"/>
    </xf>
    <xf numFmtId="168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167" fontId="2" fillId="0" borderId="2" xfId="17" applyNumberFormat="1" applyFont="1" applyFill="1" applyBorder="1" applyAlignment="1" applyProtection="1">
      <alignment/>
      <protection/>
    </xf>
    <xf numFmtId="167" fontId="2" fillId="0" borderId="2" xfId="17" applyNumberFormat="1" applyFont="1" applyFill="1" applyBorder="1" applyAlignment="1" applyProtection="1">
      <alignment/>
      <protection/>
    </xf>
    <xf numFmtId="164" fontId="2" fillId="0" borderId="2" xfId="17" applyNumberFormat="1" applyFont="1" applyFill="1" applyBorder="1" applyAlignment="1" applyProtection="1">
      <alignment/>
      <protection/>
    </xf>
    <xf numFmtId="1" fontId="2" fillId="0" borderId="2" xfId="17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 applyBorder="1" applyAlignment="1" applyProtection="1">
      <alignment/>
      <protection/>
    </xf>
    <xf numFmtId="41" fontId="2" fillId="0" borderId="0" xfId="18" applyFont="1" applyFill="1" applyBorder="1" applyAlignment="1" applyProtection="1">
      <alignment/>
      <protection/>
    </xf>
    <xf numFmtId="167" fontId="2" fillId="0" borderId="0" xfId="17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3" fontId="7" fillId="0" borderId="2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4" fontId="8" fillId="0" borderId="12" xfId="0" applyNumberFormat="1" applyFont="1" applyFill="1" applyBorder="1" applyAlignment="1">
      <alignment/>
    </xf>
    <xf numFmtId="164" fontId="8" fillId="0" borderId="12" xfId="24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4" fontId="8" fillId="0" borderId="1" xfId="0" applyNumberFormat="1" applyFont="1" applyFill="1" applyBorder="1" applyAlignment="1">
      <alignment/>
    </xf>
    <xf numFmtId="164" fontId="8" fillId="0" borderId="1" xfId="24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164" fontId="8" fillId="0" borderId="2" xfId="24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164" fontId="7" fillId="0" borderId="0" xfId="24" applyNumberFormat="1" applyFont="1" applyFill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center" wrapText="1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174" fontId="22" fillId="0" borderId="14" xfId="0" applyNumberFormat="1" applyFont="1" applyFill="1" applyBorder="1" applyAlignment="1">
      <alignment horizontal="right"/>
    </xf>
    <xf numFmtId="166" fontId="22" fillId="0" borderId="14" xfId="0" applyNumberFormat="1" applyFont="1" applyFill="1" applyBorder="1" applyAlignment="1">
      <alignment horizontal="right"/>
    </xf>
    <xf numFmtId="4" fontId="22" fillId="0" borderId="14" xfId="0" applyNumberFormat="1" applyFont="1" applyFill="1" applyBorder="1" applyAlignment="1">
      <alignment horizontal="right"/>
    </xf>
    <xf numFmtId="10" fontId="22" fillId="0" borderId="14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174" fontId="11" fillId="0" borderId="3" xfId="0" applyNumberFormat="1" applyFont="1" applyFill="1" applyBorder="1" applyAlignment="1">
      <alignment horizontal="right"/>
    </xf>
    <xf numFmtId="166" fontId="11" fillId="0" borderId="3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174" fontId="11" fillId="0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/>
    </xf>
    <xf numFmtId="174" fontId="11" fillId="0" borderId="2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/>
    </xf>
    <xf numFmtId="174" fontId="22" fillId="0" borderId="3" xfId="0" applyNumberFormat="1" applyFont="1" applyFill="1" applyBorder="1" applyAlignment="1">
      <alignment/>
    </xf>
    <xf numFmtId="166" fontId="22" fillId="0" borderId="3" xfId="0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/>
    </xf>
    <xf numFmtId="174" fontId="22" fillId="0" borderId="2" xfId="0" applyNumberFormat="1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174" fontId="22" fillId="0" borderId="14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74" fontId="22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3" fontId="11" fillId="0" borderId="3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42" fontId="22" fillId="0" borderId="0" xfId="0" applyNumberFormat="1" applyFont="1" applyFill="1" applyBorder="1" applyAlignment="1">
      <alignment horizontal="right"/>
    </xf>
    <xf numFmtId="174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/>
    </xf>
    <xf numFmtId="10" fontId="22" fillId="0" borderId="3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0" fontId="8" fillId="0" borderId="1" xfId="0" applyNumberFormat="1" applyFont="1" applyFill="1" applyBorder="1" applyAlignment="1">
      <alignment/>
    </xf>
    <xf numFmtId="0" fontId="22" fillId="0" borderId="1" xfId="0" applyFont="1" applyFill="1" applyBorder="1" applyAlignment="1">
      <alignment/>
    </xf>
    <xf numFmtId="10" fontId="22" fillId="0" borderId="1" xfId="0" applyNumberFormat="1" applyFont="1" applyFill="1" applyBorder="1" applyAlignment="1">
      <alignment/>
    </xf>
    <xf numFmtId="10" fontId="22" fillId="0" borderId="2" xfId="0" applyNumberFormat="1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50" fillId="0" borderId="25" xfId="0" applyFont="1" applyFill="1" applyBorder="1" applyAlignment="1">
      <alignment horizontal="center"/>
    </xf>
    <xf numFmtId="0" fontId="43" fillId="0" borderId="25" xfId="0" applyFont="1" applyFill="1" applyBorder="1" applyAlignment="1">
      <alignment/>
    </xf>
    <xf numFmtId="10" fontId="49" fillId="0" borderId="25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164" fontId="11" fillId="0" borderId="1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/>
    </xf>
    <xf numFmtId="10" fontId="7" fillId="0" borderId="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0" fontId="7" fillId="0" borderId="1" xfId="0" applyFont="1" applyFill="1" applyBorder="1" applyAlignment="1">
      <alignment/>
    </xf>
    <xf numFmtId="10" fontId="7" fillId="0" borderId="1" xfId="0" applyNumberFormat="1" applyFont="1" applyFill="1" applyBorder="1" applyAlignment="1">
      <alignment/>
    </xf>
    <xf numFmtId="10" fontId="7" fillId="0" borderId="2" xfId="0" applyNumberFormat="1" applyFont="1" applyFill="1" applyBorder="1" applyAlignment="1">
      <alignment/>
    </xf>
    <xf numFmtId="10" fontId="53" fillId="0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11" fillId="0" borderId="3" xfId="24" applyNumberFormat="1" applyFont="1" applyFill="1" applyBorder="1" applyAlignment="1">
      <alignment horizontal="right"/>
    </xf>
    <xf numFmtId="164" fontId="11" fillId="0" borderId="1" xfId="24" applyNumberFormat="1" applyFont="1" applyFill="1" applyBorder="1" applyAlignment="1">
      <alignment horizontal="right"/>
    </xf>
    <xf numFmtId="164" fontId="11" fillId="0" borderId="2" xfId="24" applyNumberFormat="1" applyFont="1" applyFill="1" applyBorder="1" applyAlignment="1">
      <alignment horizontal="right"/>
    </xf>
    <xf numFmtId="164" fontId="11" fillId="0" borderId="0" xfId="24" applyNumberFormat="1" applyFont="1" applyFill="1" applyBorder="1" applyAlignment="1">
      <alignment horizontal="right"/>
    </xf>
    <xf numFmtId="0" fontId="22" fillId="0" borderId="0" xfId="0" applyFont="1" applyFill="1" applyBorder="1" applyAlignment="1" quotePrefix="1">
      <alignment horizontal="center"/>
    </xf>
    <xf numFmtId="0" fontId="20" fillId="0" borderId="3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164" fontId="20" fillId="0" borderId="3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164" fontId="2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0" fontId="2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3" fontId="11" fillId="0" borderId="3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/>
    </xf>
    <xf numFmtId="9" fontId="7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0" fillId="0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8" fillId="0" borderId="3" xfId="24" applyNumberFormat="1" applyFont="1" applyFill="1" applyBorder="1" applyAlignment="1">
      <alignment/>
    </xf>
    <xf numFmtId="164" fontId="8" fillId="0" borderId="1" xfId="24" applyNumberFormat="1" applyFont="1" applyBorder="1" applyAlignment="1">
      <alignment/>
    </xf>
    <xf numFmtId="164" fontId="8" fillId="0" borderId="2" xfId="24" applyNumberFormat="1" applyFont="1" applyBorder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3" xfId="24" applyNumberFormat="1" applyFont="1" applyBorder="1" applyAlignment="1">
      <alignment/>
    </xf>
    <xf numFmtId="164" fontId="8" fillId="0" borderId="1" xfId="24" applyNumberFormat="1" applyFont="1" applyBorder="1" applyAlignment="1">
      <alignment/>
    </xf>
    <xf numFmtId="164" fontId="8" fillId="0" borderId="2" xfId="24" applyNumberFormat="1" applyFont="1" applyBorder="1" applyAlignment="1">
      <alignment/>
    </xf>
    <xf numFmtId="0" fontId="11" fillId="0" borderId="3" xfId="0" applyFont="1" applyFill="1" applyBorder="1" applyAlignment="1">
      <alignment/>
    </xf>
    <xf numFmtId="164" fontId="11" fillId="0" borderId="3" xfId="24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164" fontId="11" fillId="0" borderId="1" xfId="24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9" fontId="8" fillId="0" borderId="13" xfId="0" applyNumberFormat="1" applyFont="1" applyFill="1" applyBorder="1" applyAlignment="1">
      <alignment/>
    </xf>
    <xf numFmtId="164" fontId="8" fillId="0" borderId="3" xfId="24" applyNumberFormat="1" applyFont="1" applyFill="1" applyBorder="1" applyAlignment="1">
      <alignment horizontal="right"/>
    </xf>
    <xf numFmtId="164" fontId="8" fillId="0" borderId="1" xfId="24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164" fontId="8" fillId="0" borderId="13" xfId="2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justify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164" fontId="7" fillId="0" borderId="11" xfId="24" applyNumberFormat="1" applyFont="1" applyFill="1" applyBorder="1" applyAlignment="1">
      <alignment horizontal="right" vertical="top" wrapText="1"/>
    </xf>
    <xf numFmtId="174" fontId="8" fillId="0" borderId="3" xfId="0" applyNumberFormat="1" applyFont="1" applyFill="1" applyBorder="1" applyAlignment="1">
      <alignment horizontal="right"/>
    </xf>
    <xf numFmtId="174" fontId="8" fillId="0" borderId="1" xfId="0" applyNumberFormat="1" applyFont="1" applyFill="1" applyBorder="1" applyAlignment="1">
      <alignment horizontal="right"/>
    </xf>
    <xf numFmtId="174" fontId="8" fillId="0" borderId="2" xfId="0" applyNumberFormat="1" applyFont="1" applyFill="1" applyBorder="1" applyAlignment="1">
      <alignment horizontal="right"/>
    </xf>
    <xf numFmtId="164" fontId="8" fillId="0" borderId="2" xfId="24" applyNumberFormat="1" applyFont="1" applyFill="1" applyBorder="1" applyAlignment="1">
      <alignment horizontal="right"/>
    </xf>
    <xf numFmtId="174" fontId="7" fillId="0" borderId="11" xfId="0" applyNumberFormat="1" applyFont="1" applyFill="1" applyBorder="1" applyAlignment="1">
      <alignment horizontal="right" vertical="top" wrapText="1"/>
    </xf>
    <xf numFmtId="164" fontId="7" fillId="0" borderId="11" xfId="24" applyNumberFormat="1" applyFont="1" applyFill="1" applyBorder="1" applyAlignment="1">
      <alignment horizontal="right"/>
    </xf>
    <xf numFmtId="168" fontId="0" fillId="2" borderId="13" xfId="0" applyNumberFormat="1" applyFont="1" applyFill="1" applyBorder="1" applyAlignment="1" applyProtection="1">
      <alignment/>
      <protection/>
    </xf>
    <xf numFmtId="168" fontId="0" fillId="2" borderId="0" xfId="0" applyNumberFormat="1" applyFont="1" applyFill="1" applyBorder="1" applyAlignment="1" applyProtection="1">
      <alignment/>
      <protection/>
    </xf>
    <xf numFmtId="0" fontId="7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23" applyFont="1">
      <alignment/>
      <protection/>
    </xf>
    <xf numFmtId="0" fontId="55" fillId="0" borderId="0" xfId="23">
      <alignment/>
      <protection/>
    </xf>
    <xf numFmtId="0" fontId="0" fillId="0" borderId="0" xfId="23" applyFont="1" applyAlignment="1">
      <alignment horizontal="center"/>
      <protection/>
    </xf>
    <xf numFmtId="0" fontId="55" fillId="0" borderId="0" xfId="23" applyAlignment="1">
      <alignment horizontal="center"/>
      <protection/>
    </xf>
    <xf numFmtId="0" fontId="55" fillId="0" borderId="0" xfId="23" applyFont="1" applyAlignment="1">
      <alignment horizontal="left"/>
      <protection/>
    </xf>
    <xf numFmtId="0" fontId="55" fillId="0" borderId="0" xfId="23" applyFont="1">
      <alignment/>
      <protection/>
    </xf>
    <xf numFmtId="0" fontId="72" fillId="0" borderId="0" xfId="23" applyFont="1">
      <alignment/>
      <protection/>
    </xf>
    <xf numFmtId="0" fontId="2" fillId="0" borderId="26" xfId="23" applyFont="1" applyBorder="1">
      <alignment/>
      <protection/>
    </xf>
    <xf numFmtId="0" fontId="2" fillId="0" borderId="26" xfId="23" applyFont="1" applyBorder="1" applyAlignment="1">
      <alignment horizontal="center"/>
      <protection/>
    </xf>
    <xf numFmtId="0" fontId="2" fillId="0" borderId="27" xfId="23" applyFont="1" applyBorder="1" applyAlignment="1">
      <alignment horizontal="center"/>
      <protection/>
    </xf>
    <xf numFmtId="0" fontId="2" fillId="0" borderId="6" xfId="23" applyFont="1" applyBorder="1" applyAlignment="1">
      <alignment horizontal="center"/>
      <protection/>
    </xf>
    <xf numFmtId="0" fontId="0" fillId="0" borderId="26" xfId="23" applyFont="1" applyBorder="1">
      <alignment/>
      <protection/>
    </xf>
    <xf numFmtId="0" fontId="0" fillId="0" borderId="26" xfId="23" applyFont="1" applyBorder="1" applyAlignment="1">
      <alignment horizontal="center"/>
      <protection/>
    </xf>
    <xf numFmtId="0" fontId="0" fillId="0" borderId="27" xfId="23" applyFont="1" applyBorder="1" applyAlignment="1">
      <alignment horizontal="center"/>
      <protection/>
    </xf>
    <xf numFmtId="0" fontId="0" fillId="0" borderId="0" xfId="23" applyFont="1">
      <alignment/>
      <protection/>
    </xf>
    <xf numFmtId="0" fontId="0" fillId="0" borderId="6" xfId="23" applyFont="1" applyBorder="1" applyAlignment="1">
      <alignment horizontal="center"/>
      <protection/>
    </xf>
    <xf numFmtId="0" fontId="5" fillId="0" borderId="27" xfId="23" applyFont="1" applyBorder="1" applyAlignment="1">
      <alignment horizontal="center"/>
      <protection/>
    </xf>
    <xf numFmtId="0" fontId="55" fillId="0" borderId="0" xfId="23" applyAlignment="1">
      <alignment horizontal="left"/>
      <protection/>
    </xf>
    <xf numFmtId="0" fontId="73" fillId="0" borderId="0" xfId="23" applyFont="1">
      <alignment/>
      <protection/>
    </xf>
    <xf numFmtId="0" fontId="0" fillId="0" borderId="26" xfId="23" applyFont="1" applyFill="1" applyBorder="1">
      <alignment/>
      <protection/>
    </xf>
    <xf numFmtId="0" fontId="0" fillId="0" borderId="26" xfId="23" applyFont="1" applyFill="1" applyBorder="1" applyAlignment="1">
      <alignment horizontal="center"/>
      <protection/>
    </xf>
    <xf numFmtId="0" fontId="55" fillId="0" borderId="0" xfId="23" applyFont="1" applyFill="1">
      <alignment/>
      <protection/>
    </xf>
    <xf numFmtId="0" fontId="55" fillId="3" borderId="0" xfId="23" applyFont="1" applyFill="1">
      <alignment/>
      <protection/>
    </xf>
    <xf numFmtId="0" fontId="55" fillId="0" borderId="0" xfId="23" applyFill="1">
      <alignment/>
      <protection/>
    </xf>
    <xf numFmtId="0" fontId="2" fillId="0" borderId="0" xfId="23" applyFont="1" applyBorder="1">
      <alignment/>
      <protection/>
    </xf>
    <xf numFmtId="0" fontId="2" fillId="0" borderId="0" xfId="23" applyFont="1" applyBorder="1" applyAlignment="1">
      <alignment horizontal="center"/>
      <protection/>
    </xf>
    <xf numFmtId="0" fontId="73" fillId="0" borderId="0" xfId="23" applyFont="1" applyBorder="1">
      <alignment/>
      <protection/>
    </xf>
    <xf numFmtId="0" fontId="0" fillId="0" borderId="0" xfId="23" applyFont="1" applyFill="1" applyBorder="1" applyAlignment="1">
      <alignment horizontal="center"/>
      <protection/>
    </xf>
    <xf numFmtId="0" fontId="55" fillId="0" borderId="28" xfId="23" applyBorder="1">
      <alignment/>
      <protection/>
    </xf>
    <xf numFmtId="0" fontId="2" fillId="0" borderId="0" xfId="23" applyFont="1" applyAlignment="1">
      <alignment horizontal="center"/>
      <protection/>
    </xf>
    <xf numFmtId="0" fontId="5" fillId="0" borderId="26" xfId="23" applyFont="1" applyBorder="1">
      <alignment/>
      <protection/>
    </xf>
    <xf numFmtId="0" fontId="0" fillId="0" borderId="29" xfId="23" applyFont="1" applyBorder="1">
      <alignment/>
      <protection/>
    </xf>
    <xf numFmtId="0" fontId="0" fillId="0" borderId="30" xfId="23" applyFont="1" applyBorder="1" applyAlignment="1">
      <alignment horizontal="center"/>
      <protection/>
    </xf>
    <xf numFmtId="0" fontId="55" fillId="0" borderId="30" xfId="23" applyBorder="1">
      <alignment/>
      <protection/>
    </xf>
    <xf numFmtId="0" fontId="0" fillId="0" borderId="31" xfId="23" applyFont="1" applyBorder="1" applyAlignment="1">
      <alignment horizontal="center"/>
      <protection/>
    </xf>
    <xf numFmtId="0" fontId="0" fillId="0" borderId="28" xfId="23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0" fontId="0" fillId="0" borderId="32" xfId="23" applyFont="1" applyBorder="1" applyAlignment="1">
      <alignment horizontal="center"/>
      <protection/>
    </xf>
    <xf numFmtId="0" fontId="0" fillId="0" borderId="33" xfId="23" applyFont="1" applyBorder="1">
      <alignment/>
      <protection/>
    </xf>
    <xf numFmtId="0" fontId="0" fillId="0" borderId="34" xfId="23" applyFont="1" applyBorder="1" applyAlignment="1">
      <alignment horizontal="center"/>
      <protection/>
    </xf>
    <xf numFmtId="0" fontId="55" fillId="0" borderId="34" xfId="23" applyBorder="1">
      <alignment/>
      <protection/>
    </xf>
    <xf numFmtId="0" fontId="0" fillId="0" borderId="35" xfId="23" applyFont="1" applyBorder="1" applyAlignment="1">
      <alignment horizontal="center"/>
      <protection/>
    </xf>
    <xf numFmtId="0" fontId="5" fillId="0" borderId="26" xfId="23" applyFont="1" applyBorder="1" applyAlignment="1">
      <alignment horizontal="center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6" fillId="0" borderId="0" xfId="23" applyFont="1">
      <alignment/>
      <protection/>
    </xf>
    <xf numFmtId="0" fontId="35" fillId="0" borderId="0" xfId="15" applyFont="1" applyAlignment="1">
      <alignment/>
    </xf>
    <xf numFmtId="0" fontId="2" fillId="2" borderId="0" xfId="0" applyFont="1" applyFill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67" fontId="28" fillId="0" borderId="0" xfId="18" applyNumberFormat="1" applyFont="1" applyFill="1" applyBorder="1" applyAlignment="1" applyProtection="1">
      <alignment horizontal="left" vertical="center" wrapText="1"/>
      <protection/>
    </xf>
    <xf numFmtId="0" fontId="67" fillId="0" borderId="0" xfId="0" applyFont="1" applyBorder="1" applyAlignment="1">
      <alignment horizontal="left" vertical="top" wrapText="1"/>
    </xf>
    <xf numFmtId="0" fontId="2" fillId="0" borderId="6" xfId="23" applyFont="1" applyBorder="1" applyAlignment="1">
      <alignment horizontal="center" vertical="center"/>
      <protection/>
    </xf>
    <xf numFmtId="0" fontId="2" fillId="0" borderId="6" xfId="23" applyFont="1" applyBorder="1" applyAlignment="1">
      <alignment horizontal="center" vertical="center" wrapText="1"/>
      <protection/>
    </xf>
    <xf numFmtId="0" fontId="0" fillId="0" borderId="38" xfId="23" applyFont="1" applyBorder="1" applyAlignment="1">
      <alignment horizontal="center" vertical="center"/>
      <protection/>
    </xf>
    <xf numFmtId="0" fontId="0" fillId="0" borderId="39" xfId="23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69" fillId="4" borderId="0" xfId="0" applyFont="1" applyFill="1" applyAlignment="1">
      <alignment horizontal="left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-definido" xfId="21"/>
    <cellStyle name="Normal_cvalencia%nal-98" xfId="22"/>
    <cellStyle name="Normal_Fitxa 10 plantilla organica adscrita a jutjats i tribunals" xfId="23"/>
    <cellStyle name="Percent" xfId="24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85"/>
          <c:w val="0.9847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'Activ. judicial'!$C$35</c:f>
              <c:strCache>
                <c:ptCount val="1"/>
                <c:pt idx="0">
                  <c:v>ingressats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'Activ. judicial'!$B$36:$B$51</c:f>
              <c:strCache/>
            </c:strRef>
          </c:cat>
          <c:val>
            <c:numRef>
              <c:f>'Activ. judicial'!$C$36:$C$51</c:f>
              <c:numCache/>
            </c:numRef>
          </c:val>
          <c:smooth val="0"/>
        </c:ser>
        <c:ser>
          <c:idx val="1"/>
          <c:order val="1"/>
          <c:tx>
            <c:strRef>
              <c:f>'Activ. judicial'!$D$35</c:f>
              <c:strCache>
                <c:ptCount val="1"/>
                <c:pt idx="0">
                  <c:v>resolts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'Activ. judicial'!$B$36:$B$51</c:f>
              <c:strCache/>
            </c:strRef>
          </c:cat>
          <c:val>
            <c:numRef>
              <c:f>'Activ. judicial'!$D$36:$D$51</c:f>
              <c:numCache/>
            </c:numRef>
          </c:val>
          <c:smooth val="0"/>
        </c:ser>
        <c:ser>
          <c:idx val="2"/>
          <c:order val="2"/>
          <c:tx>
            <c:strRef>
              <c:f>'Activ. judicial'!$E$35</c:f>
              <c:strCache>
                <c:ptCount val="1"/>
                <c:pt idx="0">
                  <c:v>pendents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'Activ. judicial'!$B$36:$B$51</c:f>
              <c:strCache/>
            </c:strRef>
          </c:cat>
          <c:val>
            <c:numRef>
              <c:f>'Activ. judicial'!$E$36:$E$51</c:f>
              <c:numCache/>
            </c:numRef>
          </c:val>
          <c:smooth val="0"/>
        </c:ser>
        <c:dropLines>
          <c:spPr>
            <a:ln w="3175">
              <a:solidFill>
                <a:srgbClr val="808080"/>
              </a:solidFill>
              <a:prstDash val="sysDot"/>
            </a:ln>
          </c:spPr>
        </c:dropLines>
        <c:marker val="1"/>
        <c:axId val="19018298"/>
        <c:axId val="36946955"/>
      </c:line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6955"/>
        <c:crosses val="autoZero"/>
        <c:auto val="1"/>
        <c:lblOffset val="100"/>
        <c:tickLblSkip val="1"/>
        <c:tickMarkSkip val="4"/>
        <c:noMultiLvlLbl val="0"/>
      </c:catAx>
      <c:valAx>
        <c:axId val="36946955"/>
        <c:scaling>
          <c:orientation val="minMax"/>
          <c:min val="30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901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"/>
          <c:w val="0.765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Procuradors: distribució de la despesa (2011)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0785"/>
          <c:w val="0.6985"/>
          <c:h val="0.9055"/>
        </c:manualLayout>
      </c:layout>
      <c:doughnutChart>
        <c:varyColors val="1"/>
        <c:ser>
          <c:idx val="0"/>
          <c:order val="0"/>
          <c:tx>
            <c:v>Totals</c:v>
          </c:tx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Lit>
              <c:ptCount val="2"/>
              <c:pt idx="0">
                <c:v>torn d'ofici</c:v>
              </c:pt>
              <c:pt idx="1">
                <c:v>gestió</c:v>
              </c:pt>
            </c:strLit>
          </c:cat>
          <c:val>
            <c:numLit>
              <c:ptCount val="2"/>
              <c:pt idx="0">
                <c:v>5313459</c:v>
              </c:pt>
              <c:pt idx="1">
                <c:v>385776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6"/>
          <c:y val="0.4745"/>
          <c:w val="0.14225"/>
          <c:h val="0.1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Assumptes gestionats per les CAJG</a:t>
            </a:r>
          </a:p>
        </c:rich>
      </c:tx>
      <c:layout>
        <c:manualLayout>
          <c:xMode val="factor"/>
          <c:yMode val="factor"/>
          <c:x val="0.00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07275"/>
          <c:w val="0.607"/>
          <c:h val="0.92725"/>
        </c:manualLayout>
      </c:layout>
      <c:doughnutChart>
        <c:varyColors val="1"/>
        <c:ser>
          <c:idx val="0"/>
          <c:order val="0"/>
          <c:tx>
            <c:strRef>
              <c:f>'Justícia gratuïta'!$G$12</c:f>
              <c:strCache>
                <c:ptCount val="1"/>
                <c:pt idx="0">
                  <c:v>Tot. gestionats*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969696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969696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'Justícia gratuïta'!$B$13:$B$17</c:f>
              <c:strCache/>
            </c:strRef>
          </c:cat>
          <c:val>
            <c:numRef>
              <c:f>'Justícia gratuïta'!$G$13:$G$17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075"/>
          <c:w val="0.98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Perits!$C$26</c:f>
              <c:strCache>
                <c:ptCount val="1"/>
                <c:pt idx="0">
                  <c:v>imports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Perits!$B$27:$B$31</c:f>
              <c:strCache/>
            </c:strRef>
          </c:cat>
          <c:val>
            <c:numRef>
              <c:f>Perits!$C$27:$C$31</c:f>
              <c:numCache/>
            </c:numRef>
          </c:val>
          <c:smooth val="0"/>
        </c:ser>
        <c:axId val="29584406"/>
        <c:axId val="64933063"/>
      </c:lineChart>
      <c:catAx>
        <c:axId val="2958440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  <c:min val="100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9584406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39"/>
          <c:w val="0.9722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tx>
            <c:v>%despesa</c:v>
          </c:tx>
          <c:spPr>
            <a:solidFill>
              <a:srgbClr val="CCFF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Barcelona-comarques</c:v>
              </c:pt>
              <c:pt idx="1">
                <c:v>Barcelona-ciutat</c:v>
              </c:pt>
              <c:pt idx="2">
                <c:v>Girona</c:v>
              </c:pt>
              <c:pt idx="3">
                <c:v>Tarragona</c:v>
              </c:pt>
              <c:pt idx="4">
                <c:v>Terres de l'Ebre</c:v>
              </c:pt>
              <c:pt idx="5">
                <c:v>Lleida</c:v>
              </c:pt>
            </c:strLit>
          </c:cat>
          <c:val>
            <c:numLit>
              <c:ptCount val="6"/>
              <c:pt idx="0">
                <c:v>0.3633076047363963</c:v>
              </c:pt>
              <c:pt idx="1">
                <c:v>0.23418636312313815</c:v>
              </c:pt>
              <c:pt idx="2">
                <c:v>0.22951222176710281</c:v>
              </c:pt>
              <c:pt idx="3">
                <c:v>0.10155275426202978</c:v>
              </c:pt>
              <c:pt idx="4">
                <c:v>0.03708981185850357</c:v>
              </c:pt>
              <c:pt idx="5">
                <c:v>0.03435124425282938</c:v>
              </c:pt>
            </c:numLit>
          </c:val>
        </c:ser>
        <c:ser>
          <c:idx val="1"/>
          <c:order val="1"/>
          <c:tx>
            <c:v>%serveis</c:v>
          </c:tx>
          <c:spPr>
            <a:solidFill>
              <a:srgbClr val="FFFF99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Barcelona-comarques</c:v>
              </c:pt>
              <c:pt idx="1">
                <c:v>Barcelona-ciutat</c:v>
              </c:pt>
              <c:pt idx="2">
                <c:v>Girona</c:v>
              </c:pt>
              <c:pt idx="3">
                <c:v>Tarragona</c:v>
              </c:pt>
              <c:pt idx="4">
                <c:v>Terres de l'Ebre</c:v>
              </c:pt>
              <c:pt idx="5">
                <c:v>Lleida</c:v>
              </c:pt>
            </c:strLit>
          </c:cat>
          <c:val>
            <c:numLit>
              <c:ptCount val="6"/>
              <c:pt idx="0">
                <c:v>0.26904781774180087</c:v>
              </c:pt>
              <c:pt idx="1">
                <c:v>0.39016384322234277</c:v>
              </c:pt>
              <c:pt idx="2">
                <c:v>0.2151102951403377</c:v>
              </c:pt>
              <c:pt idx="3">
                <c:v>0.02350552171131325</c:v>
              </c:pt>
              <c:pt idx="4">
                <c:v>0.0188044173690506</c:v>
              </c:pt>
              <c:pt idx="5">
                <c:v>0.0833681048151548</c:v>
              </c:pt>
            </c:numLit>
          </c:val>
        </c:ser>
        <c:gapWidth val="30"/>
        <c:axId val="47526656"/>
        <c:axId val="25086721"/>
      </c:barChart>
      <c:catAx>
        <c:axId val="475266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5086721"/>
        <c:crosses val="autoZero"/>
        <c:auto val="1"/>
        <c:lblOffset val="100"/>
        <c:noMultiLvlLbl val="0"/>
      </c:catAx>
      <c:valAx>
        <c:axId val="25086721"/>
        <c:scaling>
          <c:orientation val="minMax"/>
        </c:scaling>
        <c:axPos val="b"/>
        <c:delete val="1"/>
        <c:majorTickMark val="out"/>
        <c:minorTickMark val="none"/>
        <c:tickLblPos val="nextTo"/>
        <c:crossAx val="47526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75"/>
          <c:y val="0.18975"/>
          <c:w val="0.29075"/>
          <c:h val="0.1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.1615"/>
          <c:w val="0.75925"/>
          <c:h val="0.68475"/>
        </c:manualLayout>
      </c:layout>
      <c:ofPieChart>
        <c:ofPieType val="bar"/>
        <c:varyColors val="1"/>
        <c:ser>
          <c:idx val="0"/>
          <c:order val="0"/>
          <c:tx>
            <c:strRef>
              <c:f>'Traducció-interpretació'!$C$64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969696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969696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808080"/>
                </a:solidFill>
                <a:prstDash val="sysDot"/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969696"/>
                </a:solidFill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969696"/>
                </a:solidFill>
              </a:ln>
            </c:spPr>
          </c:dPt>
          <c:dPt>
            <c:idx val="11"/>
            <c:spPr>
              <a:solidFill>
                <a:srgbClr val="FFFFFF"/>
              </a:solidFill>
              <a:ln w="12700">
                <a:solidFill>
                  <a:srgbClr val="808080"/>
                </a:solidFill>
                <a:prstDash val="sysDot"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'Traducció-interpretació'!$B$65:$B$71</c:f>
              <c:strCache/>
            </c:strRef>
          </c:cat>
          <c:val>
            <c:numRef>
              <c:f>'Traducció-interpretació'!$C$65:$C$71</c:f>
              <c:numCache/>
            </c:numRef>
          </c:val>
        </c:ser>
        <c:splitType val="pos"/>
        <c:splitPos val="3"/>
        <c:secondPieSize val="6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1225"/>
          <c:w val="0.805"/>
          <c:h val="0.71875"/>
        </c:manualLayout>
      </c:layout>
      <c:ofPieChart>
        <c:ofPieType val="bar"/>
        <c:varyColors val="1"/>
        <c:ser>
          <c:idx val="0"/>
          <c:order val="0"/>
          <c:tx>
            <c:strRef>
              <c:f>'Traducció-interpretació'!$C$121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969696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969696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808080"/>
                </a:solidFill>
                <a:prstDash val="sysDot"/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969696"/>
                </a:solidFill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969696"/>
                </a:solidFill>
              </a:ln>
            </c:spPr>
          </c:dPt>
          <c:dPt>
            <c:idx val="11"/>
            <c:spPr>
              <a:solidFill>
                <a:srgbClr val="FFFFFF"/>
              </a:solidFill>
              <a:ln w="12700">
                <a:solidFill>
                  <a:srgbClr val="808080"/>
                </a:solidFill>
                <a:prstDash val="sysDot"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'Traducció-interpretació'!$B$122:$B$127</c:f>
              <c:strCache/>
            </c:strRef>
          </c:cat>
          <c:val>
            <c:numRef>
              <c:f>'Traducció-interpretació'!$C$122:$C$127</c:f>
              <c:numCache/>
            </c:numRef>
          </c:val>
        </c:ser>
        <c:splitType val="pos"/>
        <c:splitPos val="3"/>
        <c:secondPieSize val="6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0075"/>
          <c:w val="0.980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'Activ. judicial'!$B$129</c:f>
              <c:strCache>
                <c:ptCount val="1"/>
                <c:pt idx="0">
                  <c:v>Jurisdicció civil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'Activ. judicial'!$G$128:$J$128</c:f>
              <c:strCache/>
            </c:strRef>
          </c:cat>
          <c:val>
            <c:numRef>
              <c:f>'Activ. judicial'!$G$129:$J$129</c:f>
              <c:numCache/>
            </c:numRef>
          </c:val>
        </c:ser>
        <c:ser>
          <c:idx val="1"/>
          <c:order val="1"/>
          <c:tx>
            <c:strRef>
              <c:f>'Activ. judicial'!$B$130</c:f>
              <c:strCache>
                <c:ptCount val="1"/>
                <c:pt idx="0">
                  <c:v>Jurisdicció penal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'Activ. judicial'!$G$128:$J$128</c:f>
              <c:strCache/>
            </c:strRef>
          </c:cat>
          <c:val>
            <c:numRef>
              <c:f>'Activ. judicial'!$G$130:$J$130</c:f>
              <c:numCache/>
            </c:numRef>
          </c:val>
        </c:ser>
        <c:ser>
          <c:idx val="2"/>
          <c:order val="2"/>
          <c:tx>
            <c:strRef>
              <c:f>'Activ. judicial'!$B$131</c:f>
              <c:strCache>
                <c:ptCount val="1"/>
                <c:pt idx="0">
                  <c:v>Jurisdicció contenciosa administrativa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'Activ. judicial'!$G$128:$J$128</c:f>
              <c:strCache/>
            </c:strRef>
          </c:cat>
          <c:val>
            <c:numRef>
              <c:f>'Activ. judicial'!$G$131:$J$131</c:f>
              <c:numCache/>
            </c:numRef>
          </c:val>
        </c:ser>
        <c:ser>
          <c:idx val="3"/>
          <c:order val="3"/>
          <c:tx>
            <c:strRef>
              <c:f>'Activ. judicial'!$B$132</c:f>
              <c:strCache>
                <c:ptCount val="1"/>
                <c:pt idx="0">
                  <c:v>Jurisdicció social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'Activ. judicial'!$G$128:$J$128</c:f>
              <c:strCache/>
            </c:strRef>
          </c:cat>
          <c:val>
            <c:numRef>
              <c:f>'Activ. judicial'!$G$132:$J$132</c:f>
              <c:numCache/>
            </c:numRef>
          </c:val>
        </c:ser>
        <c:gapWidth val="91"/>
        <c:axId val="64087140"/>
        <c:axId val="39913349"/>
      </c:bar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3349"/>
        <c:crosses val="autoZero"/>
        <c:auto val="1"/>
        <c:lblOffset val="0"/>
        <c:tickLblSkip val="1"/>
        <c:noMultiLvlLbl val="0"/>
      </c:catAx>
      <c:valAx>
        <c:axId val="39913349"/>
        <c:scaling>
          <c:orientation val="minMax"/>
          <c:max val="1.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087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4"/>
          <c:y val="0.002"/>
          <c:w val="0.717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'Activ. judicial'!$G$94</c:f>
              <c:strCache>
                <c:ptCount val="1"/>
                <c:pt idx="0">
                  <c:v>litigiositat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'Activ. judicial'!$B$95:$B$98</c:f>
              <c:strCache/>
            </c:strRef>
          </c:cat>
          <c:val>
            <c:numRef>
              <c:f>'Activ. judicial'!$G$95:$G$98</c:f>
              <c:numCache/>
            </c:numRef>
          </c:val>
          <c:smooth val="0"/>
        </c:ser>
        <c:marker val="1"/>
        <c:axId val="23675822"/>
        <c:axId val="11755807"/>
      </c:lineChart>
      <c:catAx>
        <c:axId val="23675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23675822"/>
        <c:crossesAt val="1"/>
        <c:crossBetween val="between"/>
        <c:dispUnits/>
        <c:majorUnit val="0.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5"/>
          <c:y val="0.1575"/>
          <c:w val="0.64375"/>
          <c:h val="0.7555"/>
        </c:manualLayout>
      </c:layout>
      <c:doughnutChart>
        <c:varyColors val="1"/>
        <c:ser>
          <c:idx val="0"/>
          <c:order val="0"/>
          <c:tx>
            <c:v>volum</c:v>
          </c:tx>
          <c:spPr>
            <a:ln w="254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254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254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25400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25400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</a:rPr>
                      <a:t>Barcelona comarq.
51,3%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Barcelona ciutat</c:v>
              </c:pt>
              <c:pt idx="1">
                <c:v>Barcelona comarques</c:v>
              </c:pt>
              <c:pt idx="2">
                <c:v>Girona</c:v>
              </c:pt>
              <c:pt idx="3">
                <c:v>Lleida</c:v>
              </c:pt>
              <c:pt idx="4">
                <c:v>Tarragona</c:v>
              </c:pt>
            </c:strLit>
          </c:cat>
          <c:val>
            <c:numLit>
              <c:ptCount val="5"/>
              <c:pt idx="0">
                <c:v>197140</c:v>
              </c:pt>
              <c:pt idx="1">
                <c:v>347770</c:v>
              </c:pt>
              <c:pt idx="2">
                <c:v>81880</c:v>
              </c:pt>
              <c:pt idx="3">
                <c:v>15819</c:v>
              </c:pt>
              <c:pt idx="4">
                <c:v>35118</c:v>
              </c:pt>
            </c:numLit>
          </c:val>
        </c:ser>
        <c:firstSliceAng val="14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75"/>
          <c:w val="0.982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volums</c:v>
          </c:tx>
          <c:spPr>
            <a:solidFill>
              <a:srgbClr val="99CC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Acollida i direccionament</c:v>
              </c:pt>
              <c:pt idx="1">
                <c:v>Repartiment d’assumptes</c:v>
              </c:pt>
              <c:pt idx="2">
                <c:v>Estat de tramitació dels expedients, assenyalaments i citacions</c:v>
              </c:pt>
              <c:pt idx="3">
                <c:v>Ubicació òrgans judicials i altres</c:v>
              </c:pt>
              <c:pt idx="4">
                <c:v>Localització de professionals</c:v>
              </c:pt>
              <c:pt idx="5">
                <c:v>Informació genèrica sobre procediments</c:v>
              </c:pt>
              <c:pt idx="6">
                <c:v>Aclariments sobre documents</c:v>
              </c:pt>
              <c:pt idx="7">
                <c:v>Registre d’escrits</c:v>
              </c:pt>
            </c:strLit>
          </c:cat>
          <c:val>
            <c:numLit>
              <c:ptCount val="8"/>
              <c:pt idx="0">
                <c:v>291939</c:v>
              </c:pt>
              <c:pt idx="1">
                <c:v>136558</c:v>
              </c:pt>
              <c:pt idx="2">
                <c:v>72485</c:v>
              </c:pt>
              <c:pt idx="3">
                <c:v>53760</c:v>
              </c:pt>
              <c:pt idx="4">
                <c:v>50800</c:v>
              </c:pt>
              <c:pt idx="5">
                <c:v>36599</c:v>
              </c:pt>
              <c:pt idx="6">
                <c:v>33808</c:v>
              </c:pt>
              <c:pt idx="7">
                <c:v>1778</c:v>
              </c:pt>
            </c:numLit>
          </c:val>
        </c:ser>
        <c:gapWidth val="50"/>
        <c:axId val="38693400"/>
        <c:axId val="12696281"/>
      </c:barChart>
      <c:catAx>
        <c:axId val="386934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80"/>
                </a:solidFill>
              </a:defRPr>
            </a:pPr>
          </a:p>
        </c:txPr>
        <c:crossAx val="12696281"/>
        <c:crosses val="autoZero"/>
        <c:auto val="1"/>
        <c:lblOffset val="100"/>
        <c:noMultiLvlLbl val="0"/>
      </c:catAx>
      <c:valAx>
        <c:axId val="1269628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8693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88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'Justícia de pau'!$B$19</c:f>
              <c:strCache>
                <c:ptCount val="1"/>
                <c:pt idx="0">
                  <c:v>Població dels municipis AMB jutjat de pau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'Justícia de pau'!$C$18:$G$18</c:f>
              <c:strCache/>
            </c:strRef>
          </c:cat>
          <c:val>
            <c:numRef>
              <c:f>'Justícia de pau'!$C$19:$G$19</c:f>
              <c:numCache/>
            </c:numRef>
          </c:val>
        </c:ser>
        <c:ser>
          <c:idx val="1"/>
          <c:order val="1"/>
          <c:tx>
            <c:strRef>
              <c:f>'Justícia de pau'!$B$20</c:f>
              <c:strCache>
                <c:ptCount val="1"/>
                <c:pt idx="0">
                  <c:v>Població dels municipis SENSE jutjat de pau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'Justícia de pau'!$C$18:$G$18</c:f>
              <c:strCache/>
            </c:strRef>
          </c:cat>
          <c:val>
            <c:numRef>
              <c:f>'Justícia de pau'!$C$20:$G$20</c:f>
              <c:numCache/>
            </c:numRef>
          </c:val>
        </c:ser>
        <c:overlap val="100"/>
        <c:gapWidth val="60"/>
        <c:axId val="47157666"/>
        <c:axId val="21765811"/>
      </c:barChart>
      <c:catAx>
        <c:axId val="47157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1765811"/>
        <c:crosses val="autoZero"/>
        <c:auto val="1"/>
        <c:lblOffset val="100"/>
        <c:tickLblSkip val="1"/>
        <c:noMultiLvlLbl val="0"/>
      </c:catAx>
      <c:valAx>
        <c:axId val="21765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7157666"/>
        <c:crossesAt val="1"/>
        <c:crossBetween val="between"/>
        <c:dispUnits/>
        <c:majorUnit val="0.25"/>
      </c:valAx>
      <c:spPr>
        <a:noFill/>
        <a:ln w="254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075"/>
          <c:w val="0.538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1" u="non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Assumptes resolts (2008-2012)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10175"/>
          <c:w val="0.98525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'Justícia gratuïta'!$B$56</c:f>
              <c:strCache>
                <c:ptCount val="1"/>
                <c:pt idx="0">
                  <c:v>Totals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'Justícia gratuïta'!$C$50:$G$50</c:f>
              <c:strCache/>
            </c:strRef>
          </c:cat>
          <c:val>
            <c:numRef>
              <c:f>'Justícia gratuïta'!$C$56:$G$56</c:f>
              <c:numCache/>
            </c:numRef>
          </c:val>
          <c:smooth val="0"/>
        </c:ser>
        <c:marker val="1"/>
        <c:axId val="61674572"/>
        <c:axId val="18200237"/>
      </c:lineChart>
      <c:catAx>
        <c:axId val="6167457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18200237"/>
        <c:crosses val="autoZero"/>
        <c:auto val="1"/>
        <c:lblOffset val="100"/>
        <c:tickLblSkip val="1"/>
        <c:noMultiLvlLbl val="0"/>
      </c:catAx>
      <c:valAx>
        <c:axId val="18200237"/>
        <c:scaling>
          <c:orientation val="minMax"/>
          <c:min val="9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1674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Activitat, per col·legi d'advocats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1475"/>
          <c:w val="0.63475"/>
          <c:h val="0.6225"/>
        </c:manualLayout>
      </c:layout>
      <c:ofPieChart>
        <c:ofPieType val="pie"/>
        <c:varyColors val="1"/>
        <c:ser>
          <c:idx val="0"/>
          <c:order val="0"/>
          <c:tx>
            <c:strRef>
              <c:f>'Justícia gratuïta'!$C$159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solidFill>
                <a:srgbClr val="00B0F0"/>
              </a:solid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969696"/>
                </a:solidFill>
              </a:ln>
            </c:spPr>
          </c:dPt>
          <c:dPt>
            <c:idx val="3"/>
            <c:spPr>
              <a:solidFill>
                <a:srgbClr val="B3A2C7"/>
              </a:solidFill>
              <a:ln w="12700">
                <a:solidFill>
                  <a:srgbClr val="969696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969696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969696"/>
                </a:solidFill>
              </a:ln>
            </c:spPr>
          </c:dPt>
          <c:dPt>
            <c:idx val="6"/>
            <c:spPr>
              <a:solidFill>
                <a:srgbClr val="F2F2F2"/>
              </a:solidFill>
              <a:ln w="12700">
                <a:solidFill>
                  <a:srgbClr val="969696"/>
                </a:solidFill>
                <a:prstDash val="dash"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'Justícia gratuïta'!$B$160:$B$165</c:f>
              <c:strCache/>
            </c:strRef>
          </c:cat>
          <c:val>
            <c:numRef>
              <c:f>'Justícia gratuïta'!$C$160:$C$165</c:f>
              <c:numCache/>
            </c:numRef>
          </c:val>
        </c:ser>
        <c:gapWidth val="243"/>
        <c:splitType val="pos"/>
        <c:splitPos val="5"/>
        <c:secondPieSize val="2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05"/>
          <c:w val="1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Activitat, per col·legi de procuradors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25"/>
          <c:w val="0.81025"/>
          <c:h val="0.5285"/>
        </c:manualLayout>
      </c:layout>
      <c:ofPieChart>
        <c:ofPieType val="pie"/>
        <c:varyColors val="1"/>
        <c:ser>
          <c:idx val="0"/>
          <c:order val="0"/>
          <c:tx>
            <c:strRef>
              <c:f>'Justícia gratuïta'!$C$216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solidFill>
                <a:srgbClr val="00B0F0"/>
              </a:solid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969696"/>
                </a:solidFill>
              </a:ln>
            </c:spPr>
          </c:dPt>
          <c:dPt>
            <c:idx val="3"/>
            <c:spPr>
              <a:solidFill>
                <a:srgbClr val="B3A2C7"/>
              </a:solidFill>
              <a:ln w="12700">
                <a:solidFill>
                  <a:srgbClr val="969696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969696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969696"/>
                </a:solidFill>
              </a:ln>
            </c:spPr>
          </c:dPt>
          <c:dPt>
            <c:idx val="6"/>
            <c:spPr>
              <a:solidFill>
                <a:srgbClr val="F2F2F2"/>
              </a:solidFill>
              <a:ln w="12700">
                <a:solidFill>
                  <a:srgbClr val="969696"/>
                </a:solidFill>
                <a:prstDash val="dash"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'Justícia gratuïta'!$B$217:$B$222</c:f>
              <c:strCache/>
            </c:strRef>
          </c:cat>
          <c:val>
            <c:numRef>
              <c:f>'Justícia gratuïta'!$C$217:$C$222</c:f>
              <c:numCache/>
            </c:numRef>
          </c:val>
        </c:ser>
        <c:gapWidth val="243"/>
        <c:splitType val="pos"/>
        <c:splitPos val="5"/>
        <c:secondPieSize val="2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5"/>
          <c:y val="0.81075"/>
          <c:w val="0.8232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0</xdr:rowOff>
    </xdr:from>
    <xdr:to>
      <xdr:col>9</xdr:col>
      <xdr:colOff>95250</xdr:colOff>
      <xdr:row>85</xdr:row>
      <xdr:rowOff>19050</xdr:rowOff>
    </xdr:to>
    <xdr:graphicFrame>
      <xdr:nvGraphicFramePr>
        <xdr:cNvPr id="1" name="Chart 1"/>
        <xdr:cNvGraphicFramePr/>
      </xdr:nvGraphicFramePr>
      <xdr:xfrm>
        <a:off x="609600" y="6162675"/>
        <a:ext cx="103727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136</xdr:row>
      <xdr:rowOff>47625</xdr:rowOff>
    </xdr:from>
    <xdr:to>
      <xdr:col>11</xdr:col>
      <xdr:colOff>38100</xdr:colOff>
      <xdr:row>166</xdr:row>
      <xdr:rowOff>142875</xdr:rowOff>
    </xdr:to>
    <xdr:graphicFrame>
      <xdr:nvGraphicFramePr>
        <xdr:cNvPr id="2" name="Chart 2"/>
        <xdr:cNvGraphicFramePr/>
      </xdr:nvGraphicFramePr>
      <xdr:xfrm>
        <a:off x="609600" y="19707225"/>
        <a:ext cx="1187767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98</xdr:row>
      <xdr:rowOff>142875</xdr:rowOff>
    </xdr:from>
    <xdr:to>
      <xdr:col>9</xdr:col>
      <xdr:colOff>0</xdr:colOff>
      <xdr:row>116</xdr:row>
      <xdr:rowOff>19050</xdr:rowOff>
    </xdr:to>
    <xdr:graphicFrame>
      <xdr:nvGraphicFramePr>
        <xdr:cNvPr id="3" name="Chart 3"/>
        <xdr:cNvGraphicFramePr/>
      </xdr:nvGraphicFramePr>
      <xdr:xfrm>
        <a:off x="619125" y="13544550"/>
        <a:ext cx="102679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9525</xdr:rowOff>
    </xdr:from>
    <xdr:to>
      <xdr:col>3</xdr:col>
      <xdr:colOff>123825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85800" y="1885950"/>
        <a:ext cx="47720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50</xdr:row>
      <xdr:rowOff>9525</xdr:rowOff>
    </xdr:from>
    <xdr:to>
      <xdr:col>5</xdr:col>
      <xdr:colOff>152400</xdr:colOff>
      <xdr:row>72</xdr:row>
      <xdr:rowOff>85725</xdr:rowOff>
    </xdr:to>
    <xdr:graphicFrame>
      <xdr:nvGraphicFramePr>
        <xdr:cNvPr id="2" name="Chart 2"/>
        <xdr:cNvGraphicFramePr/>
      </xdr:nvGraphicFramePr>
      <xdr:xfrm>
        <a:off x="600075" y="8448675"/>
        <a:ext cx="63150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85725</xdr:rowOff>
    </xdr:from>
    <xdr:to>
      <xdr:col>9</xdr:col>
      <xdr:colOff>638175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638175" y="2981325"/>
        <a:ext cx="122491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7</xdr:col>
      <xdr:colOff>9525</xdr:colOff>
      <xdr:row>74</xdr:row>
      <xdr:rowOff>19050</xdr:rowOff>
    </xdr:to>
    <xdr:graphicFrame>
      <xdr:nvGraphicFramePr>
        <xdr:cNvPr id="1" name="5 Gráfico"/>
        <xdr:cNvGraphicFramePr/>
      </xdr:nvGraphicFramePr>
      <xdr:xfrm>
        <a:off x="790575" y="10010775"/>
        <a:ext cx="84201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156</xdr:row>
      <xdr:rowOff>152400</xdr:rowOff>
    </xdr:from>
    <xdr:to>
      <xdr:col>5</xdr:col>
      <xdr:colOff>1066800</xdr:colOff>
      <xdr:row>177</xdr:row>
      <xdr:rowOff>57150</xdr:rowOff>
    </xdr:to>
    <xdr:graphicFrame>
      <xdr:nvGraphicFramePr>
        <xdr:cNvPr id="2" name="6 Gráfico"/>
        <xdr:cNvGraphicFramePr/>
      </xdr:nvGraphicFramePr>
      <xdr:xfrm>
        <a:off x="723900" y="28013025"/>
        <a:ext cx="7210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211</xdr:row>
      <xdr:rowOff>38100</xdr:rowOff>
    </xdr:from>
    <xdr:to>
      <xdr:col>5</xdr:col>
      <xdr:colOff>600075</xdr:colOff>
      <xdr:row>235</xdr:row>
      <xdr:rowOff>38100</xdr:rowOff>
    </xdr:to>
    <xdr:graphicFrame>
      <xdr:nvGraphicFramePr>
        <xdr:cNvPr id="3" name="7 Gráfico"/>
        <xdr:cNvGraphicFramePr/>
      </xdr:nvGraphicFramePr>
      <xdr:xfrm>
        <a:off x="590550" y="37671375"/>
        <a:ext cx="687705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239</xdr:row>
      <xdr:rowOff>123825</xdr:rowOff>
    </xdr:from>
    <xdr:to>
      <xdr:col>4</xdr:col>
      <xdr:colOff>1066800</xdr:colOff>
      <xdr:row>258</xdr:row>
      <xdr:rowOff>85725</xdr:rowOff>
    </xdr:to>
    <xdr:graphicFrame>
      <xdr:nvGraphicFramePr>
        <xdr:cNvPr id="4" name="10 Gráfico"/>
        <xdr:cNvGraphicFramePr/>
      </xdr:nvGraphicFramePr>
      <xdr:xfrm>
        <a:off x="800100" y="42586275"/>
        <a:ext cx="604837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21</xdr:row>
      <xdr:rowOff>123825</xdr:rowOff>
    </xdr:from>
    <xdr:to>
      <xdr:col>6</xdr:col>
      <xdr:colOff>723900</xdr:colOff>
      <xdr:row>43</xdr:row>
      <xdr:rowOff>133350</xdr:rowOff>
    </xdr:to>
    <xdr:graphicFrame>
      <xdr:nvGraphicFramePr>
        <xdr:cNvPr id="5" name="Chart 5"/>
        <xdr:cNvGraphicFramePr/>
      </xdr:nvGraphicFramePr>
      <xdr:xfrm>
        <a:off x="771525" y="4048125"/>
        <a:ext cx="79057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</xdr:row>
      <xdr:rowOff>219075</xdr:rowOff>
    </xdr:from>
    <xdr:to>
      <xdr:col>6</xdr:col>
      <xdr:colOff>257175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752475" y="4524375"/>
        <a:ext cx="8267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11</xdr:row>
      <xdr:rowOff>142875</xdr:rowOff>
    </xdr:from>
    <xdr:to>
      <xdr:col>6</xdr:col>
      <xdr:colOff>428625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00075" y="2181225"/>
        <a:ext cx="62769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61</xdr:row>
      <xdr:rowOff>114300</xdr:rowOff>
    </xdr:from>
    <xdr:to>
      <xdr:col>8</xdr:col>
      <xdr:colOff>190500</xdr:colOff>
      <xdr:row>89</xdr:row>
      <xdr:rowOff>9525</xdr:rowOff>
    </xdr:to>
    <xdr:graphicFrame>
      <xdr:nvGraphicFramePr>
        <xdr:cNvPr id="2" name="Chart 2"/>
        <xdr:cNvGraphicFramePr/>
      </xdr:nvGraphicFramePr>
      <xdr:xfrm>
        <a:off x="571500" y="10791825"/>
        <a:ext cx="776287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119</xdr:row>
      <xdr:rowOff>104775</xdr:rowOff>
    </xdr:from>
    <xdr:to>
      <xdr:col>8</xdr:col>
      <xdr:colOff>695325</xdr:colOff>
      <xdr:row>148</xdr:row>
      <xdr:rowOff>28575</xdr:rowOff>
    </xdr:to>
    <xdr:graphicFrame>
      <xdr:nvGraphicFramePr>
        <xdr:cNvPr id="3" name="Chart 3"/>
        <xdr:cNvGraphicFramePr/>
      </xdr:nvGraphicFramePr>
      <xdr:xfrm>
        <a:off x="600075" y="20945475"/>
        <a:ext cx="8239125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udis%20i%20Treballs%20t&#232;cnics\Estudis+Reculls%20de%20Dades\ESTADISTIQUES+OPENDATA\DADES%20CGPJ-pnj\2012-CATALU&#209;A-1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udis%20i%20Treballs%20t&#232;cnics\Estudis+Reculls%20de%20Dades\ESTADISTIQUES+OPENDATA\DADES%20CGPJ-pnj\2011-CATALU&#209;A-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0.gencat.cat/docs/Adjucat/Documents/ARXIUS/pobl_superf1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"/>
  <sheetViews>
    <sheetView tabSelected="1" workbookViewId="0" topLeftCell="A1">
      <selection activeCell="I15" sqref="I15"/>
    </sheetView>
  </sheetViews>
  <sheetFormatPr defaultColWidth="9.140625" defaultRowHeight="12.75"/>
  <cols>
    <col min="2" max="2" width="43.7109375" style="0" customWidth="1"/>
    <col min="3" max="3" width="11.7109375" style="0" customWidth="1"/>
    <col min="4" max="4" width="13.28125" style="0" bestFit="1" customWidth="1"/>
    <col min="5" max="5" width="18.421875" style="0" bestFit="1" customWidth="1"/>
    <col min="6" max="6" width="14.7109375" style="0" bestFit="1" customWidth="1"/>
    <col min="7" max="7" width="19.7109375" style="0" bestFit="1" customWidth="1"/>
    <col min="8" max="8" width="20.8515625" style="0" bestFit="1" customWidth="1"/>
    <col min="9" max="11" width="11.7109375" style="0" customWidth="1"/>
    <col min="12" max="12" width="14.7109375" style="0" customWidth="1"/>
    <col min="13" max="13" width="14.421875" style="0" customWidth="1"/>
    <col min="14" max="14" width="10.7109375" style="0" customWidth="1"/>
  </cols>
  <sheetData>
    <row r="1" ht="18">
      <c r="B1" s="9" t="s">
        <v>13</v>
      </c>
    </row>
    <row r="4" spans="2:14" ht="12.75">
      <c r="B4" s="227"/>
      <c r="C4" s="597" t="s">
        <v>14</v>
      </c>
      <c r="D4" s="597"/>
      <c r="E4" s="597"/>
      <c r="F4" s="597" t="s">
        <v>0</v>
      </c>
      <c r="G4" s="597"/>
      <c r="H4" s="597"/>
      <c r="I4" s="597" t="s">
        <v>20</v>
      </c>
      <c r="J4" s="597"/>
      <c r="K4" s="597"/>
      <c r="L4" s="597" t="s">
        <v>15</v>
      </c>
      <c r="M4" s="597"/>
      <c r="N4" s="597"/>
    </row>
    <row r="5" spans="2:14" ht="13.5" thickBot="1">
      <c r="B5" s="228" t="s">
        <v>271</v>
      </c>
      <c r="C5" s="229">
        <v>2011</v>
      </c>
      <c r="D5" s="229">
        <v>2012</v>
      </c>
      <c r="E5" s="229" t="s">
        <v>1</v>
      </c>
      <c r="F5" s="229">
        <v>2011</v>
      </c>
      <c r="G5" s="229">
        <v>2012</v>
      </c>
      <c r="H5" s="229" t="s">
        <v>1</v>
      </c>
      <c r="I5" s="229">
        <v>2011</v>
      </c>
      <c r="J5" s="229">
        <v>2012</v>
      </c>
      <c r="K5" s="229" t="s">
        <v>1</v>
      </c>
      <c r="L5" s="229">
        <v>2011</v>
      </c>
      <c r="M5" s="229">
        <v>2012</v>
      </c>
      <c r="N5" s="229" t="s">
        <v>1</v>
      </c>
    </row>
    <row r="6" spans="2:14" ht="12.75">
      <c r="B6" s="230" t="s">
        <v>272</v>
      </c>
      <c r="C6" s="231">
        <f>SUM(C7:C14)</f>
        <v>203784</v>
      </c>
      <c r="D6" s="231">
        <f aca="true" t="shared" si="0" ref="D6:M6">SUM(D7:D14)</f>
        <v>173471</v>
      </c>
      <c r="E6" s="232">
        <f>(D6/C6)-1</f>
        <v>-0.1487506379303576</v>
      </c>
      <c r="F6" s="231">
        <f t="shared" si="0"/>
        <v>286635</v>
      </c>
      <c r="G6" s="231">
        <f t="shared" si="0"/>
        <v>297679</v>
      </c>
      <c r="H6" s="232">
        <f>(G6/F6)-1</f>
        <v>0.03852983759833939</v>
      </c>
      <c r="I6" s="231">
        <f t="shared" si="0"/>
        <v>313194</v>
      </c>
      <c r="J6" s="231">
        <f t="shared" si="0"/>
        <v>301047</v>
      </c>
      <c r="K6" s="232">
        <f aca="true" t="shared" si="1" ref="K6:K29">(J6/I6)-1</f>
        <v>-0.0387842678978525</v>
      </c>
      <c r="L6" s="231">
        <f t="shared" si="0"/>
        <v>173023</v>
      </c>
      <c r="M6" s="231">
        <f t="shared" si="0"/>
        <v>170210</v>
      </c>
      <c r="N6" s="232">
        <f aca="true" t="shared" si="2" ref="N6:N30">(M6/L6)-1</f>
        <v>-0.01625795414482467</v>
      </c>
    </row>
    <row r="7" spans="2:14" ht="12.75">
      <c r="B7" s="1" t="s">
        <v>2</v>
      </c>
      <c r="C7" s="2">
        <v>88694</v>
      </c>
      <c r="D7" s="7">
        <v>65906</v>
      </c>
      <c r="E7" s="3">
        <f>(D7/C7)-1</f>
        <v>-0.25692831533136407</v>
      </c>
      <c r="F7" s="2">
        <v>129902</v>
      </c>
      <c r="G7" s="2">
        <v>137778</v>
      </c>
      <c r="H7" s="3">
        <f aca="true" t="shared" si="3" ref="H7:H14">(G7/F7)-1</f>
        <v>0.06063032131914836</v>
      </c>
      <c r="I7" s="2">
        <v>150301</v>
      </c>
      <c r="J7" s="2">
        <v>139728</v>
      </c>
      <c r="K7" s="3">
        <f t="shared" si="1"/>
        <v>-0.07034550668325557</v>
      </c>
      <c r="L7" s="2">
        <v>65906</v>
      </c>
      <c r="M7" s="2">
        <v>65337</v>
      </c>
      <c r="N7" s="3">
        <f t="shared" si="2"/>
        <v>-0.008633508330045836</v>
      </c>
    </row>
    <row r="8" spans="2:14" ht="12.75">
      <c r="B8" s="1" t="s">
        <v>3</v>
      </c>
      <c r="C8" s="2">
        <v>7340</v>
      </c>
      <c r="D8" s="7">
        <v>8560</v>
      </c>
      <c r="E8" s="3">
        <f aca="true" t="shared" si="4" ref="E8:E14">(D8/C8)-1</f>
        <v>0.1662125340599454</v>
      </c>
      <c r="F8" s="2">
        <v>7420</v>
      </c>
      <c r="G8" s="2">
        <v>8192</v>
      </c>
      <c r="H8" s="3">
        <f t="shared" si="3"/>
        <v>0.10404312668463622</v>
      </c>
      <c r="I8" s="2">
        <v>6759</v>
      </c>
      <c r="J8" s="2">
        <v>7480</v>
      </c>
      <c r="K8" s="3">
        <f t="shared" si="1"/>
        <v>0.10667258470187901</v>
      </c>
      <c r="L8" s="2">
        <v>8112</v>
      </c>
      <c r="M8" s="2">
        <v>8862</v>
      </c>
      <c r="N8" s="3">
        <f t="shared" si="2"/>
        <v>0.09245562130177509</v>
      </c>
    </row>
    <row r="9" spans="2:14" ht="12.75">
      <c r="B9" s="1" t="s">
        <v>395</v>
      </c>
      <c r="C9" s="2">
        <v>1753</v>
      </c>
      <c r="D9" s="7">
        <v>1778</v>
      </c>
      <c r="E9" s="3">
        <f t="shared" si="4"/>
        <v>0.01426126640045644</v>
      </c>
      <c r="F9" s="2">
        <v>3510</v>
      </c>
      <c r="G9" s="2">
        <v>3673</v>
      </c>
      <c r="H9" s="3">
        <f t="shared" si="3"/>
        <v>0.04643874643874635</v>
      </c>
      <c r="I9" s="2">
        <v>3450</v>
      </c>
      <c r="J9" s="2">
        <v>3681</v>
      </c>
      <c r="K9" s="3">
        <f t="shared" si="1"/>
        <v>0.06695652173913036</v>
      </c>
      <c r="L9" s="2">
        <v>1778</v>
      </c>
      <c r="M9" s="2">
        <v>1759</v>
      </c>
      <c r="N9" s="3">
        <f t="shared" si="2"/>
        <v>-0.010686164229471329</v>
      </c>
    </row>
    <row r="10" spans="2:14" ht="12.75">
      <c r="B10" s="1" t="s">
        <v>5</v>
      </c>
      <c r="C10" s="2">
        <v>8416</v>
      </c>
      <c r="D10" s="7">
        <v>9397</v>
      </c>
      <c r="E10" s="3">
        <f t="shared" si="4"/>
        <v>0.11656368821292773</v>
      </c>
      <c r="F10" s="2">
        <v>21362</v>
      </c>
      <c r="G10" s="2">
        <v>22216</v>
      </c>
      <c r="H10" s="3">
        <f t="shared" si="3"/>
        <v>0.039977530193802124</v>
      </c>
      <c r="I10" s="2">
        <v>20305</v>
      </c>
      <c r="J10" s="2">
        <v>21404</v>
      </c>
      <c r="K10" s="3">
        <f t="shared" si="1"/>
        <v>0.05412459985225304</v>
      </c>
      <c r="L10" s="2">
        <v>9397</v>
      </c>
      <c r="M10" s="2">
        <v>9737</v>
      </c>
      <c r="N10" s="3">
        <f t="shared" si="2"/>
        <v>0.03618176013621377</v>
      </c>
    </row>
    <row r="11" spans="2:14" ht="12.75">
      <c r="B11" s="1" t="s">
        <v>6</v>
      </c>
      <c r="C11" s="2">
        <v>87450</v>
      </c>
      <c r="D11" s="7">
        <v>76214</v>
      </c>
      <c r="E11" s="3">
        <f t="shared" si="4"/>
        <v>-0.12848484848484854</v>
      </c>
      <c r="F11" s="2">
        <v>107840</v>
      </c>
      <c r="G11" s="2">
        <v>108495</v>
      </c>
      <c r="H11" s="3">
        <f t="shared" si="3"/>
        <v>0.006073813056379773</v>
      </c>
      <c r="I11" s="2">
        <v>117316</v>
      </c>
      <c r="J11" s="2">
        <v>112895</v>
      </c>
      <c r="K11" s="3">
        <f t="shared" si="1"/>
        <v>-0.037684544307681866</v>
      </c>
      <c r="L11" s="2">
        <v>76214</v>
      </c>
      <c r="M11" s="2">
        <v>71410</v>
      </c>
      <c r="N11" s="3">
        <f t="shared" si="2"/>
        <v>-0.06303303854934794</v>
      </c>
    </row>
    <row r="12" spans="2:14" ht="12.75">
      <c r="B12" s="1" t="s">
        <v>7</v>
      </c>
      <c r="C12" s="2">
        <v>48</v>
      </c>
      <c r="D12" s="7">
        <v>25</v>
      </c>
      <c r="E12" s="3">
        <f t="shared" si="4"/>
        <v>-0.47916666666666663</v>
      </c>
      <c r="F12" s="2">
        <v>8</v>
      </c>
      <c r="G12" s="2">
        <v>6</v>
      </c>
      <c r="H12" s="3">
        <f t="shared" si="3"/>
        <v>-0.25</v>
      </c>
      <c r="I12" s="2">
        <v>47</v>
      </c>
      <c r="J12" s="2">
        <v>20</v>
      </c>
      <c r="K12" s="3">
        <f t="shared" si="1"/>
        <v>-0.574468085106383</v>
      </c>
      <c r="L12" s="2">
        <v>25</v>
      </c>
      <c r="M12" s="2">
        <v>11</v>
      </c>
      <c r="N12" s="3">
        <f t="shared" si="2"/>
        <v>-0.56</v>
      </c>
    </row>
    <row r="13" spans="2:14" ht="12.75">
      <c r="B13" s="1" t="s">
        <v>273</v>
      </c>
      <c r="C13" s="2">
        <v>9975</v>
      </c>
      <c r="D13" s="7">
        <v>11457</v>
      </c>
      <c r="E13" s="3">
        <f t="shared" si="4"/>
        <v>0.14857142857142858</v>
      </c>
      <c r="F13" s="2">
        <v>16363</v>
      </c>
      <c r="G13" s="2">
        <v>17050</v>
      </c>
      <c r="H13" s="3">
        <f t="shared" si="3"/>
        <v>0.04198496608201441</v>
      </c>
      <c r="I13" s="2">
        <v>14812</v>
      </c>
      <c r="J13" s="2">
        <v>15575</v>
      </c>
      <c r="K13" s="3">
        <f t="shared" si="1"/>
        <v>0.051512287334593676</v>
      </c>
      <c r="L13" s="2">
        <v>11457</v>
      </c>
      <c r="M13" s="2">
        <v>12955</v>
      </c>
      <c r="N13" s="3">
        <f t="shared" si="2"/>
        <v>0.1307497599720695</v>
      </c>
    </row>
    <row r="14" spans="2:14" ht="13.5" thickBot="1">
      <c r="B14" s="4" t="s">
        <v>274</v>
      </c>
      <c r="C14" s="5">
        <v>108</v>
      </c>
      <c r="D14" s="8">
        <v>134</v>
      </c>
      <c r="E14" s="6">
        <f t="shared" si="4"/>
        <v>0.2407407407407407</v>
      </c>
      <c r="F14" s="5">
        <v>230</v>
      </c>
      <c r="G14" s="5">
        <v>269</v>
      </c>
      <c r="H14" s="6">
        <f t="shared" si="3"/>
        <v>0.16956521739130426</v>
      </c>
      <c r="I14" s="5">
        <v>204</v>
      </c>
      <c r="J14" s="5">
        <v>264</v>
      </c>
      <c r="K14" s="6">
        <f t="shared" si="1"/>
        <v>0.2941176470588236</v>
      </c>
      <c r="L14" s="5">
        <v>134</v>
      </c>
      <c r="M14" s="5">
        <v>139</v>
      </c>
      <c r="N14" s="6">
        <f t="shared" si="2"/>
        <v>0.03731343283582089</v>
      </c>
    </row>
    <row r="15" spans="2:14" ht="12.75">
      <c r="B15" s="230" t="s">
        <v>275</v>
      </c>
      <c r="C15" s="231">
        <f>SUM(C16:C23)</f>
        <v>187524</v>
      </c>
      <c r="D15" s="231">
        <f aca="true" t="shared" si="5" ref="D15:M15">SUM(D16:D23)</f>
        <v>177661</v>
      </c>
      <c r="E15" s="232">
        <f>(D15/C15)-1</f>
        <v>-0.05259593438706511</v>
      </c>
      <c r="F15" s="231">
        <f t="shared" si="5"/>
        <v>998073</v>
      </c>
      <c r="G15" s="231">
        <f t="shared" si="5"/>
        <v>986867</v>
      </c>
      <c r="H15" s="232">
        <f>(G15/F15)-1</f>
        <v>-0.011227635653905055</v>
      </c>
      <c r="I15" s="231">
        <f t="shared" si="5"/>
        <v>1015816</v>
      </c>
      <c r="J15" s="231">
        <f t="shared" si="5"/>
        <v>1010812</v>
      </c>
      <c r="K15" s="232">
        <f t="shared" si="1"/>
        <v>-0.004926088976743848</v>
      </c>
      <c r="L15" s="231">
        <f t="shared" si="5"/>
        <v>177661</v>
      </c>
      <c r="M15" s="231">
        <f t="shared" si="5"/>
        <v>161792</v>
      </c>
      <c r="N15" s="232">
        <f t="shared" si="2"/>
        <v>-0.08932179825622955</v>
      </c>
    </row>
    <row r="16" spans="2:14" ht="12.75">
      <c r="B16" s="1" t="s">
        <v>8</v>
      </c>
      <c r="C16" s="2">
        <v>65230</v>
      </c>
      <c r="D16" s="7">
        <v>57785</v>
      </c>
      <c r="E16" s="3">
        <f aca="true" t="shared" si="6" ref="E16:E30">(D16/C16)-1</f>
        <v>-0.11413460064387548</v>
      </c>
      <c r="F16" s="2">
        <v>537919</v>
      </c>
      <c r="G16" s="2">
        <v>528471</v>
      </c>
      <c r="H16" s="3">
        <f aca="true" t="shared" si="7" ref="H16:H30">(G16/F16)-1</f>
        <v>-0.017563982681407464</v>
      </c>
      <c r="I16" s="2">
        <v>553163</v>
      </c>
      <c r="J16" s="2">
        <v>544410</v>
      </c>
      <c r="K16" s="3">
        <f t="shared" si="1"/>
        <v>-0.015823545681833417</v>
      </c>
      <c r="L16" s="2">
        <v>57785</v>
      </c>
      <c r="M16" s="2">
        <v>51972</v>
      </c>
      <c r="N16" s="3">
        <f t="shared" si="2"/>
        <v>-0.10059704075452103</v>
      </c>
    </row>
    <row r="17" spans="2:14" ht="12.75">
      <c r="B17" s="1" t="s">
        <v>6</v>
      </c>
      <c r="C17" s="2">
        <v>68933</v>
      </c>
      <c r="D17" s="7">
        <v>70231</v>
      </c>
      <c r="E17" s="3">
        <f t="shared" si="6"/>
        <v>0.018829878287612623</v>
      </c>
      <c r="F17" s="2">
        <v>337969</v>
      </c>
      <c r="G17" s="2">
        <v>333852</v>
      </c>
      <c r="H17" s="3">
        <f t="shared" si="7"/>
        <v>-0.012181590619257943</v>
      </c>
      <c r="I17" s="2">
        <v>335282</v>
      </c>
      <c r="J17" s="2">
        <v>339349</v>
      </c>
      <c r="K17" s="3">
        <f t="shared" si="1"/>
        <v>0.012130087508425813</v>
      </c>
      <c r="L17" s="2">
        <v>70231</v>
      </c>
      <c r="M17" s="2">
        <v>60030</v>
      </c>
      <c r="N17" s="3">
        <f t="shared" si="2"/>
        <v>-0.14524924890717772</v>
      </c>
    </row>
    <row r="18" spans="2:14" ht="12.75">
      <c r="B18" s="1" t="s">
        <v>4</v>
      </c>
      <c r="C18" s="2">
        <v>6450</v>
      </c>
      <c r="D18" s="7">
        <v>5454</v>
      </c>
      <c r="E18" s="3">
        <f t="shared" si="6"/>
        <v>-0.15441860465116275</v>
      </c>
      <c r="F18" s="2">
        <v>28306</v>
      </c>
      <c r="G18" s="2">
        <v>26793</v>
      </c>
      <c r="H18" s="3">
        <f t="shared" si="7"/>
        <v>-0.05345156503921433</v>
      </c>
      <c r="I18" s="2">
        <v>29478</v>
      </c>
      <c r="J18" s="2">
        <v>27863</v>
      </c>
      <c r="K18" s="3">
        <f t="shared" si="1"/>
        <v>-0.054786620530565155</v>
      </c>
      <c r="L18" s="2">
        <v>5454</v>
      </c>
      <c r="M18" s="2">
        <v>4713</v>
      </c>
      <c r="N18" s="3">
        <f t="shared" si="2"/>
        <v>-0.13586358635863582</v>
      </c>
    </row>
    <row r="19" spans="2:14" ht="12.75">
      <c r="B19" s="1" t="s">
        <v>7</v>
      </c>
      <c r="C19" s="2">
        <v>3801</v>
      </c>
      <c r="D19" s="7">
        <v>3313</v>
      </c>
      <c r="E19" s="3">
        <f t="shared" si="6"/>
        <v>-0.1283872665088135</v>
      </c>
      <c r="F19" s="2">
        <v>5070</v>
      </c>
      <c r="G19" s="2">
        <v>4891</v>
      </c>
      <c r="H19" s="3">
        <f t="shared" si="7"/>
        <v>-0.03530571992110454</v>
      </c>
      <c r="I19" s="2">
        <v>5979</v>
      </c>
      <c r="J19" s="2">
        <v>6100</v>
      </c>
      <c r="K19" s="3">
        <f t="shared" si="1"/>
        <v>0.020237497909349367</v>
      </c>
      <c r="L19" s="2">
        <v>3313</v>
      </c>
      <c r="M19" s="2">
        <v>2576</v>
      </c>
      <c r="N19" s="3">
        <f t="shared" si="2"/>
        <v>-0.2224569876245095</v>
      </c>
    </row>
    <row r="20" spans="2:14" ht="12.75">
      <c r="B20" s="1" t="s">
        <v>9</v>
      </c>
      <c r="C20" s="2">
        <v>3253</v>
      </c>
      <c r="D20" s="7">
        <v>1464</v>
      </c>
      <c r="E20" s="3">
        <f t="shared" si="6"/>
        <v>-0.5499538887181064</v>
      </c>
      <c r="F20" s="2">
        <v>29503</v>
      </c>
      <c r="G20" s="2">
        <v>30193</v>
      </c>
      <c r="H20" s="3">
        <f t="shared" si="7"/>
        <v>0.023387452123512897</v>
      </c>
      <c r="I20" s="2">
        <v>31295</v>
      </c>
      <c r="J20" s="2">
        <v>30317</v>
      </c>
      <c r="K20" s="3">
        <f t="shared" si="1"/>
        <v>-0.03125099856207059</v>
      </c>
      <c r="L20" s="2">
        <v>1464</v>
      </c>
      <c r="M20" s="2">
        <v>1376</v>
      </c>
      <c r="N20" s="3">
        <f t="shared" si="2"/>
        <v>-0.060109289617486295</v>
      </c>
    </row>
    <row r="21" spans="2:14" ht="12.75">
      <c r="B21" s="1" t="s">
        <v>10</v>
      </c>
      <c r="C21" s="2">
        <v>31606</v>
      </c>
      <c r="D21" s="7">
        <v>32494</v>
      </c>
      <c r="E21" s="3">
        <f t="shared" si="6"/>
        <v>0.028095931152312792</v>
      </c>
      <c r="F21" s="2">
        <v>32143</v>
      </c>
      <c r="G21" s="2">
        <v>33101</v>
      </c>
      <c r="H21" s="3">
        <f t="shared" si="7"/>
        <v>0.02980431198083555</v>
      </c>
      <c r="I21" s="2">
        <v>32325</v>
      </c>
      <c r="J21" s="2">
        <v>33386</v>
      </c>
      <c r="K21" s="3">
        <f t="shared" si="1"/>
        <v>0.03282289249806647</v>
      </c>
      <c r="L21" s="2">
        <v>32494</v>
      </c>
      <c r="M21" s="2">
        <v>34170</v>
      </c>
      <c r="N21" s="3">
        <f t="shared" si="2"/>
        <v>0.051578753000554034</v>
      </c>
    </row>
    <row r="22" spans="2:14" ht="12.75">
      <c r="B22" s="1" t="s">
        <v>276</v>
      </c>
      <c r="C22" s="2">
        <v>8217</v>
      </c>
      <c r="D22" s="7">
        <v>6888</v>
      </c>
      <c r="E22" s="3">
        <f t="shared" si="6"/>
        <v>-0.1617378605330413</v>
      </c>
      <c r="F22" s="2">
        <v>27021</v>
      </c>
      <c r="G22" s="2">
        <v>28628</v>
      </c>
      <c r="H22" s="3">
        <f t="shared" si="7"/>
        <v>0.059472262314496094</v>
      </c>
      <c r="I22" s="2">
        <v>28150</v>
      </c>
      <c r="J22" s="2">
        <v>28454</v>
      </c>
      <c r="K22" s="3">
        <f t="shared" si="1"/>
        <v>0.010799289520426303</v>
      </c>
      <c r="L22" s="2">
        <v>6888</v>
      </c>
      <c r="M22" s="2">
        <v>6918</v>
      </c>
      <c r="N22" s="3">
        <f t="shared" si="2"/>
        <v>0.00435540069686402</v>
      </c>
    </row>
    <row r="23" spans="2:14" ht="13.5" thickBot="1">
      <c r="B23" s="4" t="s">
        <v>274</v>
      </c>
      <c r="C23" s="5">
        <v>34</v>
      </c>
      <c r="D23" s="8">
        <v>32</v>
      </c>
      <c r="E23" s="6">
        <f t="shared" si="6"/>
        <v>-0.05882352941176472</v>
      </c>
      <c r="F23" s="5">
        <v>142</v>
      </c>
      <c r="G23" s="5">
        <v>938</v>
      </c>
      <c r="H23" s="6">
        <f t="shared" si="7"/>
        <v>5.605633802816901</v>
      </c>
      <c r="I23" s="5">
        <v>144</v>
      </c>
      <c r="J23" s="5">
        <v>933</v>
      </c>
      <c r="K23" s="6">
        <f t="shared" si="1"/>
        <v>5.479166666666667</v>
      </c>
      <c r="L23" s="5">
        <v>32</v>
      </c>
      <c r="M23" s="5">
        <v>37</v>
      </c>
      <c r="N23" s="6">
        <f t="shared" si="2"/>
        <v>0.15625</v>
      </c>
    </row>
    <row r="24" spans="2:14" ht="12.75">
      <c r="B24" s="230" t="s">
        <v>283</v>
      </c>
      <c r="C24" s="231">
        <f>SUM(C25:C26)</f>
        <v>33169</v>
      </c>
      <c r="D24" s="231">
        <f aca="true" t="shared" si="8" ref="D24:M24">SUM(D25:D26)</f>
        <v>33368</v>
      </c>
      <c r="E24" s="232">
        <f t="shared" si="6"/>
        <v>0.005999577919141297</v>
      </c>
      <c r="F24" s="231">
        <f t="shared" si="8"/>
        <v>22187</v>
      </c>
      <c r="G24" s="231">
        <f t="shared" si="8"/>
        <v>18835</v>
      </c>
      <c r="H24" s="232">
        <f t="shared" si="7"/>
        <v>-0.15107946094559876</v>
      </c>
      <c r="I24" s="231">
        <f t="shared" si="8"/>
        <v>22031</v>
      </c>
      <c r="J24" s="231">
        <f t="shared" si="8"/>
        <v>22185</v>
      </c>
      <c r="K24" s="232">
        <f t="shared" si="1"/>
        <v>0.0069901502428395546</v>
      </c>
      <c r="L24" s="231">
        <f t="shared" si="8"/>
        <v>33368</v>
      </c>
      <c r="M24" s="231">
        <f t="shared" si="8"/>
        <v>29974</v>
      </c>
      <c r="N24" s="232">
        <f t="shared" si="2"/>
        <v>-0.10171421721409735</v>
      </c>
    </row>
    <row r="25" spans="2:14" ht="12.75">
      <c r="B25" s="1" t="s">
        <v>280</v>
      </c>
      <c r="C25" s="2">
        <v>17679</v>
      </c>
      <c r="D25" s="7">
        <v>17992</v>
      </c>
      <c r="E25" s="3">
        <f t="shared" si="6"/>
        <v>0.017704621302109924</v>
      </c>
      <c r="F25" s="2">
        <v>14947</v>
      </c>
      <c r="G25" s="2">
        <v>12761</v>
      </c>
      <c r="H25" s="3">
        <f t="shared" si="7"/>
        <v>-0.14625008362882186</v>
      </c>
      <c r="I25" s="2">
        <v>14964</v>
      </c>
      <c r="J25" s="2">
        <v>15124</v>
      </c>
      <c r="K25" s="3">
        <f t="shared" si="1"/>
        <v>0.010692328254477523</v>
      </c>
      <c r="L25" s="2">
        <v>17992</v>
      </c>
      <c r="M25" s="2">
        <v>15982</v>
      </c>
      <c r="N25" s="3">
        <f t="shared" si="2"/>
        <v>-0.1117163183637172</v>
      </c>
    </row>
    <row r="26" spans="2:14" ht="13.5" thickBot="1">
      <c r="B26" s="4" t="s">
        <v>277</v>
      </c>
      <c r="C26" s="5">
        <v>15490</v>
      </c>
      <c r="D26" s="8">
        <v>15376</v>
      </c>
      <c r="E26" s="6">
        <f t="shared" si="6"/>
        <v>-0.007359586830213094</v>
      </c>
      <c r="F26" s="5">
        <v>7240</v>
      </c>
      <c r="G26" s="5">
        <v>6074</v>
      </c>
      <c r="H26" s="6">
        <f t="shared" si="7"/>
        <v>-0.16104972375690607</v>
      </c>
      <c r="I26" s="5">
        <v>7067</v>
      </c>
      <c r="J26" s="5">
        <v>7061</v>
      </c>
      <c r="K26" s="6">
        <f t="shared" si="1"/>
        <v>-0.0008490165558228124</v>
      </c>
      <c r="L26" s="5">
        <v>15376</v>
      </c>
      <c r="M26" s="5">
        <v>13992</v>
      </c>
      <c r="N26" s="6">
        <f t="shared" si="2"/>
        <v>-0.09001040582726327</v>
      </c>
    </row>
    <row r="27" spans="2:14" ht="12.75">
      <c r="B27" s="230" t="s">
        <v>281</v>
      </c>
      <c r="C27" s="231">
        <f>SUM(C28:C29)</f>
        <v>41099</v>
      </c>
      <c r="D27" s="231">
        <f>SUM(D28:D29)</f>
        <v>44991</v>
      </c>
      <c r="E27" s="232">
        <f t="shared" si="6"/>
        <v>0.0946981678386336</v>
      </c>
      <c r="F27" s="231">
        <f>SUM(F28:F29)</f>
        <v>67009</v>
      </c>
      <c r="G27" s="231">
        <f>SUM(G28:G29)</f>
        <v>70109</v>
      </c>
      <c r="H27" s="232">
        <f t="shared" si="7"/>
        <v>0.0462624423584892</v>
      </c>
      <c r="I27" s="231">
        <f>SUM(I28:I29)</f>
        <v>61929</v>
      </c>
      <c r="J27" s="231">
        <f>SUM(J28:J29)</f>
        <v>65558</v>
      </c>
      <c r="K27" s="232">
        <f t="shared" si="1"/>
        <v>0.05859936378756325</v>
      </c>
      <c r="L27" s="231">
        <f>SUM(L28:L29)</f>
        <v>44986</v>
      </c>
      <c r="M27" s="231">
        <f>SUM(M28:M29)</f>
        <v>47564</v>
      </c>
      <c r="N27" s="232">
        <f t="shared" si="2"/>
        <v>0.05730671764548978</v>
      </c>
    </row>
    <row r="28" spans="2:14" ht="12.75">
      <c r="B28" s="1" t="s">
        <v>11</v>
      </c>
      <c r="C28" s="2">
        <v>35145</v>
      </c>
      <c r="D28" s="7">
        <v>39304</v>
      </c>
      <c r="E28" s="3">
        <f t="shared" si="6"/>
        <v>0.1183383127045099</v>
      </c>
      <c r="F28" s="2">
        <v>58691</v>
      </c>
      <c r="G28" s="2">
        <v>62090</v>
      </c>
      <c r="H28" s="3">
        <f t="shared" si="7"/>
        <v>0.05791347906834088</v>
      </c>
      <c r="I28" s="2">
        <v>53358</v>
      </c>
      <c r="J28" s="2">
        <v>56719</v>
      </c>
      <c r="K28" s="3">
        <f t="shared" si="1"/>
        <v>0.06298961730199792</v>
      </c>
      <c r="L28" s="2">
        <v>39299</v>
      </c>
      <c r="M28" s="2">
        <v>42684</v>
      </c>
      <c r="N28" s="3">
        <f t="shared" si="2"/>
        <v>0.08613450723937</v>
      </c>
    </row>
    <row r="29" spans="2:14" ht="13.5" thickBot="1">
      <c r="B29" s="4" t="s">
        <v>278</v>
      </c>
      <c r="C29" s="5">
        <v>5954</v>
      </c>
      <c r="D29" s="8">
        <v>5687</v>
      </c>
      <c r="E29" s="6">
        <f t="shared" si="6"/>
        <v>-0.04484380248572384</v>
      </c>
      <c r="F29" s="5">
        <v>8318</v>
      </c>
      <c r="G29" s="5">
        <v>8019</v>
      </c>
      <c r="H29" s="6">
        <f t="shared" si="7"/>
        <v>-0.03594614089925463</v>
      </c>
      <c r="I29" s="5">
        <v>8571</v>
      </c>
      <c r="J29" s="5">
        <v>8839</v>
      </c>
      <c r="K29" s="6">
        <f t="shared" si="1"/>
        <v>0.03126823007817059</v>
      </c>
      <c r="L29" s="5">
        <v>5687</v>
      </c>
      <c r="M29" s="5">
        <v>4880</v>
      </c>
      <c r="N29" s="6">
        <f t="shared" si="2"/>
        <v>-0.14190258484262352</v>
      </c>
    </row>
    <row r="30" spans="2:14" ht="16.5" customHeight="1">
      <c r="B30" s="230" t="s">
        <v>12</v>
      </c>
      <c r="C30" s="231">
        <f>C6+C15+C24+C27</f>
        <v>465576</v>
      </c>
      <c r="D30" s="231">
        <f aca="true" t="shared" si="9" ref="D30:M30">D6+D15+D24+D27</f>
        <v>429491</v>
      </c>
      <c r="E30" s="232">
        <f t="shared" si="6"/>
        <v>-0.07750614292832969</v>
      </c>
      <c r="F30" s="231">
        <f t="shared" si="9"/>
        <v>1373904</v>
      </c>
      <c r="G30" s="231">
        <f t="shared" si="9"/>
        <v>1373490</v>
      </c>
      <c r="H30" s="232">
        <f t="shared" si="7"/>
        <v>-0.0003013310973692951</v>
      </c>
      <c r="I30" s="231">
        <f t="shared" si="9"/>
        <v>1412970</v>
      </c>
      <c r="J30" s="231">
        <f t="shared" si="9"/>
        <v>1399602</v>
      </c>
      <c r="K30" s="232">
        <f>(J30/I30)-1</f>
        <v>-0.009460922737213107</v>
      </c>
      <c r="L30" s="231">
        <f t="shared" si="9"/>
        <v>429038</v>
      </c>
      <c r="M30" s="231">
        <f t="shared" si="9"/>
        <v>409540</v>
      </c>
      <c r="N30" s="232">
        <f t="shared" si="2"/>
        <v>-0.0454458579426531</v>
      </c>
    </row>
    <row r="31" ht="15" customHeight="1"/>
    <row r="32" ht="16.5" customHeight="1" hidden="1"/>
    <row r="33" ht="17.25" customHeight="1"/>
    <row r="34" ht="0.75" customHeight="1">
      <c r="B34" s="11" t="s">
        <v>19</v>
      </c>
    </row>
    <row r="35" spans="2:7" ht="0.75" customHeight="1" thickBot="1">
      <c r="B35" s="41"/>
      <c r="C35" s="42" t="s">
        <v>0</v>
      </c>
      <c r="D35" s="42" t="s">
        <v>20</v>
      </c>
      <c r="E35" s="42" t="s">
        <v>16</v>
      </c>
      <c r="F35" s="42" t="s">
        <v>17</v>
      </c>
      <c r="G35" s="42" t="s">
        <v>18</v>
      </c>
    </row>
    <row r="36" spans="2:7" ht="0.75" customHeight="1">
      <c r="B36" s="43" t="s">
        <v>515</v>
      </c>
      <c r="C36" s="43">
        <v>363727</v>
      </c>
      <c r="D36" s="43">
        <v>359917</v>
      </c>
      <c r="E36" s="43">
        <v>414890</v>
      </c>
      <c r="F36" s="43">
        <v>571</v>
      </c>
      <c r="G36" s="43">
        <f>E36/F36</f>
        <v>726.6024518388791</v>
      </c>
    </row>
    <row r="37" spans="2:7" ht="0.75" customHeight="1">
      <c r="B37" s="44" t="s">
        <v>512</v>
      </c>
      <c r="C37" s="44">
        <v>364688</v>
      </c>
      <c r="D37" s="44">
        <v>359322</v>
      </c>
      <c r="E37" s="44">
        <v>420614</v>
      </c>
      <c r="F37" s="44">
        <v>571</v>
      </c>
      <c r="G37" s="44">
        <f aca="true" t="shared" si="10" ref="G37:G51">E37/F37</f>
        <v>736.6269702276708</v>
      </c>
    </row>
    <row r="38" spans="2:7" ht="0.75" customHeight="1">
      <c r="B38" s="44" t="s">
        <v>513</v>
      </c>
      <c r="C38" s="44">
        <v>351242</v>
      </c>
      <c r="D38" s="44">
        <v>328113</v>
      </c>
      <c r="E38" s="44">
        <v>444774</v>
      </c>
      <c r="F38" s="44">
        <v>571</v>
      </c>
      <c r="G38" s="44">
        <f t="shared" si="10"/>
        <v>778.938704028021</v>
      </c>
    </row>
    <row r="39" spans="2:7" ht="0.75" customHeight="1">
      <c r="B39" s="44" t="s">
        <v>514</v>
      </c>
      <c r="C39" s="44">
        <v>374253</v>
      </c>
      <c r="D39" s="44">
        <v>360260</v>
      </c>
      <c r="E39" s="44">
        <v>455649</v>
      </c>
      <c r="F39" s="44">
        <v>571</v>
      </c>
      <c r="G39" s="44">
        <f t="shared" si="10"/>
        <v>797.984238178634</v>
      </c>
    </row>
    <row r="40" spans="2:7" ht="0.75" customHeight="1">
      <c r="B40" s="44" t="s">
        <v>516</v>
      </c>
      <c r="C40" s="44">
        <v>366148</v>
      </c>
      <c r="D40" s="44">
        <v>369556</v>
      </c>
      <c r="E40" s="44">
        <v>452039</v>
      </c>
      <c r="F40" s="44">
        <v>591</v>
      </c>
      <c r="G40" s="44">
        <f t="shared" si="10"/>
        <v>764.8714043993232</v>
      </c>
    </row>
    <row r="41" spans="2:7" ht="0.75" customHeight="1">
      <c r="B41" s="44" t="s">
        <v>512</v>
      </c>
      <c r="C41" s="44">
        <v>364103</v>
      </c>
      <c r="D41" s="44">
        <v>373386</v>
      </c>
      <c r="E41" s="44">
        <v>441760</v>
      </c>
      <c r="F41" s="44">
        <v>591</v>
      </c>
      <c r="G41" s="44">
        <f t="shared" si="10"/>
        <v>747.4788494077834</v>
      </c>
    </row>
    <row r="42" spans="2:7" ht="0.75" customHeight="1">
      <c r="B42" s="44" t="s">
        <v>513</v>
      </c>
      <c r="C42" s="44">
        <v>349708</v>
      </c>
      <c r="D42" s="44">
        <v>333318</v>
      </c>
      <c r="E42" s="44">
        <v>461356</v>
      </c>
      <c r="F42" s="44">
        <v>591</v>
      </c>
      <c r="G42" s="44">
        <f t="shared" si="10"/>
        <v>780.6362098138748</v>
      </c>
    </row>
    <row r="43" spans="2:7" ht="0.75" customHeight="1">
      <c r="B43" s="44" t="s">
        <v>514</v>
      </c>
      <c r="C43" s="44">
        <v>358610</v>
      </c>
      <c r="D43" s="44">
        <v>356228</v>
      </c>
      <c r="E43" s="44">
        <v>465576</v>
      </c>
      <c r="F43" s="44">
        <v>591</v>
      </c>
      <c r="G43" s="44">
        <f t="shared" si="10"/>
        <v>787.7766497461929</v>
      </c>
    </row>
    <row r="44" spans="2:7" ht="0.75" customHeight="1">
      <c r="B44" s="44" t="s">
        <v>517</v>
      </c>
      <c r="C44" s="44">
        <v>352195</v>
      </c>
      <c r="D44" s="44">
        <v>368917</v>
      </c>
      <c r="E44" s="44">
        <v>447787</v>
      </c>
      <c r="F44" s="44">
        <v>607</v>
      </c>
      <c r="G44" s="44">
        <f t="shared" si="10"/>
        <v>737.7051070840198</v>
      </c>
    </row>
    <row r="45" spans="2:7" ht="0.75" customHeight="1">
      <c r="B45" s="44" t="s">
        <v>512</v>
      </c>
      <c r="C45" s="44">
        <v>360062</v>
      </c>
      <c r="D45" s="44">
        <v>372765</v>
      </c>
      <c r="E45" s="44">
        <v>435496</v>
      </c>
      <c r="F45" s="44">
        <v>607</v>
      </c>
      <c r="G45" s="44">
        <f t="shared" si="10"/>
        <v>717.4563426688633</v>
      </c>
    </row>
    <row r="46" spans="2:7" ht="0.75" customHeight="1">
      <c r="B46" s="44" t="s">
        <v>513</v>
      </c>
      <c r="C46" s="44">
        <v>327886</v>
      </c>
      <c r="D46" s="44">
        <v>325651</v>
      </c>
      <c r="E46" s="44">
        <v>438736</v>
      </c>
      <c r="F46" s="44">
        <v>607</v>
      </c>
      <c r="G46" s="44">
        <f t="shared" si="10"/>
        <v>722.7940691927512</v>
      </c>
    </row>
    <row r="47" spans="2:7" ht="0.75" customHeight="1">
      <c r="B47" s="44" t="s">
        <v>514</v>
      </c>
      <c r="C47" s="44">
        <v>333761</v>
      </c>
      <c r="D47" s="44">
        <v>345635</v>
      </c>
      <c r="E47" s="44">
        <v>429038</v>
      </c>
      <c r="F47" s="44">
        <v>607</v>
      </c>
      <c r="G47" s="44">
        <f t="shared" si="10"/>
        <v>706.8171334431631</v>
      </c>
    </row>
    <row r="48" spans="2:7" ht="0.75" customHeight="1">
      <c r="B48" s="44" t="s">
        <v>518</v>
      </c>
      <c r="C48" s="44">
        <v>345532</v>
      </c>
      <c r="D48" s="44">
        <v>364224</v>
      </c>
      <c r="E48" s="44">
        <v>409941</v>
      </c>
      <c r="F48" s="44">
        <v>607</v>
      </c>
      <c r="G48" s="44">
        <f t="shared" si="10"/>
        <v>675.3558484349259</v>
      </c>
    </row>
    <row r="49" spans="2:7" ht="0.75" customHeight="1">
      <c r="B49" s="44" t="s">
        <v>512</v>
      </c>
      <c r="C49" s="44">
        <v>353215</v>
      </c>
      <c r="D49" s="44">
        <v>367420</v>
      </c>
      <c r="E49" s="44">
        <v>399952</v>
      </c>
      <c r="F49" s="44">
        <v>607</v>
      </c>
      <c r="G49" s="44">
        <f t="shared" si="10"/>
        <v>658.8995057660626</v>
      </c>
    </row>
    <row r="50" spans="2:7" ht="0.75" customHeight="1">
      <c r="B50" s="44" t="s">
        <v>513</v>
      </c>
      <c r="C50" s="44">
        <v>319400</v>
      </c>
      <c r="D50" s="44">
        <v>308656</v>
      </c>
      <c r="E50" s="44">
        <v>410406</v>
      </c>
      <c r="F50" s="44">
        <v>607</v>
      </c>
      <c r="G50" s="44">
        <f t="shared" si="10"/>
        <v>676.1219110378913</v>
      </c>
    </row>
    <row r="51" spans="2:7" ht="0.75" customHeight="1" thickBot="1">
      <c r="B51" s="45" t="s">
        <v>514</v>
      </c>
      <c r="C51" s="45">
        <v>355343</v>
      </c>
      <c r="D51" s="45">
        <v>359302</v>
      </c>
      <c r="E51" s="45">
        <v>409540</v>
      </c>
      <c r="F51" s="45">
        <v>607</v>
      </c>
      <c r="G51" s="45">
        <f t="shared" si="10"/>
        <v>674.6952224052718</v>
      </c>
    </row>
    <row r="52" ht="0.75" customHeight="1"/>
    <row r="54" ht="18">
      <c r="B54" s="9" t="s">
        <v>390</v>
      </c>
    </row>
    <row r="90" ht="15" customHeight="1"/>
    <row r="91" ht="18">
      <c r="B91" s="9" t="s">
        <v>29</v>
      </c>
    </row>
    <row r="94" spans="2:9" ht="26.25" thickBot="1">
      <c r="B94" s="233"/>
      <c r="C94" s="234" t="s">
        <v>0</v>
      </c>
      <c r="D94" s="234" t="s">
        <v>20</v>
      </c>
      <c r="E94" s="234" t="s">
        <v>16</v>
      </c>
      <c r="F94" s="234" t="s">
        <v>21</v>
      </c>
      <c r="G94" s="234" t="s">
        <v>22</v>
      </c>
      <c r="H94" s="234" t="s">
        <v>27</v>
      </c>
      <c r="I94" s="234" t="s">
        <v>28</v>
      </c>
    </row>
    <row r="95" spans="2:9" ht="12.75">
      <c r="B95" s="12" t="s">
        <v>23</v>
      </c>
      <c r="C95" s="13">
        <v>1453910</v>
      </c>
      <c r="D95" s="13">
        <v>1407612</v>
      </c>
      <c r="E95" s="13">
        <v>455649</v>
      </c>
      <c r="F95" s="13">
        <v>7475420</v>
      </c>
      <c r="G95" s="14">
        <v>0.19449208205023932</v>
      </c>
      <c r="H95" s="13">
        <v>13091.803852889667</v>
      </c>
      <c r="I95" s="13">
        <v>797.984238178634</v>
      </c>
    </row>
    <row r="96" spans="2:9" ht="12.75">
      <c r="B96" s="15" t="s">
        <v>24</v>
      </c>
      <c r="C96" s="2">
        <v>1438569</v>
      </c>
      <c r="D96" s="2">
        <v>1432488</v>
      </c>
      <c r="E96" s="2">
        <v>465576</v>
      </c>
      <c r="F96" s="2">
        <v>7512381</v>
      </c>
      <c r="G96" s="16">
        <v>0.19149308321822336</v>
      </c>
      <c r="H96" s="2">
        <v>12711.30456852792</v>
      </c>
      <c r="I96" s="2">
        <v>787.7766497461929</v>
      </c>
    </row>
    <row r="97" spans="2:9" ht="12.75">
      <c r="B97" s="15" t="s">
        <v>25</v>
      </c>
      <c r="C97" s="2">
        <v>1373904</v>
      </c>
      <c r="D97" s="2">
        <v>1412968</v>
      </c>
      <c r="E97" s="2">
        <v>429038</v>
      </c>
      <c r="F97" s="2">
        <v>7539618</v>
      </c>
      <c r="G97" s="16">
        <v>0.1822246166848241</v>
      </c>
      <c r="H97" s="2">
        <v>12421.116968698518</v>
      </c>
      <c r="I97" s="2">
        <v>706.8171334431631</v>
      </c>
    </row>
    <row r="98" spans="2:9" ht="13.5" thickBot="1">
      <c r="B98" s="17" t="s">
        <v>26</v>
      </c>
      <c r="C98" s="5">
        <v>1373490</v>
      </c>
      <c r="D98" s="5">
        <v>1399602</v>
      </c>
      <c r="E98" s="5">
        <v>409540</v>
      </c>
      <c r="F98" s="5">
        <v>7570098</v>
      </c>
      <c r="G98" s="18">
        <v>0.18143622447159866</v>
      </c>
      <c r="H98" s="5">
        <v>12471.331136738056</v>
      </c>
      <c r="I98" s="5">
        <v>674.6952224052718</v>
      </c>
    </row>
    <row r="118" spans="2:10" ht="12.75">
      <c r="B118" s="11"/>
      <c r="C118" s="19"/>
      <c r="D118" s="19"/>
      <c r="E118" s="19"/>
      <c r="F118" s="19"/>
      <c r="G118" s="19"/>
      <c r="H118" s="19"/>
      <c r="I118" s="19"/>
      <c r="J118" s="19"/>
    </row>
    <row r="119" spans="2:10" ht="12.75">
      <c r="B119" s="31"/>
      <c r="C119" s="604" t="s">
        <v>30</v>
      </c>
      <c r="D119" s="604"/>
      <c r="E119" s="604" t="s">
        <v>0</v>
      </c>
      <c r="F119" s="604"/>
      <c r="G119" s="604" t="s">
        <v>20</v>
      </c>
      <c r="H119" s="604"/>
      <c r="I119" s="604" t="s">
        <v>31</v>
      </c>
      <c r="J119" s="604"/>
    </row>
    <row r="120" spans="2:10" ht="13.5" thickBot="1">
      <c r="B120" s="32" t="s">
        <v>271</v>
      </c>
      <c r="C120" s="33">
        <v>2012</v>
      </c>
      <c r="D120" s="33" t="s">
        <v>32</v>
      </c>
      <c r="E120" s="33">
        <v>2012</v>
      </c>
      <c r="F120" s="33" t="s">
        <v>32</v>
      </c>
      <c r="G120" s="33">
        <v>2012</v>
      </c>
      <c r="H120" s="33" t="s">
        <v>32</v>
      </c>
      <c r="I120" s="33">
        <v>2012</v>
      </c>
      <c r="J120" s="33" t="s">
        <v>32</v>
      </c>
    </row>
    <row r="121" spans="2:10" ht="12.75">
      <c r="B121" s="20" t="s">
        <v>272</v>
      </c>
      <c r="C121" s="21">
        <v>173471</v>
      </c>
      <c r="D121" s="22">
        <f>E6</f>
        <v>-0.1487506379303576</v>
      </c>
      <c r="E121" s="23">
        <v>297679</v>
      </c>
      <c r="F121" s="22">
        <v>0.03852983759833939</v>
      </c>
      <c r="G121" s="23">
        <v>301047</v>
      </c>
      <c r="H121" s="22">
        <v>-0.0387842678978525</v>
      </c>
      <c r="I121" s="23">
        <v>170210</v>
      </c>
      <c r="J121" s="22">
        <v>-0.01625795414482467</v>
      </c>
    </row>
    <row r="122" spans="2:10" ht="12.75">
      <c r="B122" s="20" t="s">
        <v>275</v>
      </c>
      <c r="C122" s="21">
        <v>177661</v>
      </c>
      <c r="D122" s="22">
        <f>E15</f>
        <v>-0.05259593438706511</v>
      </c>
      <c r="E122" s="23">
        <v>986867</v>
      </c>
      <c r="F122" s="22">
        <v>-0.011227635653905055</v>
      </c>
      <c r="G122" s="23">
        <v>1010812</v>
      </c>
      <c r="H122" s="22">
        <v>-0.004926088976743848</v>
      </c>
      <c r="I122" s="23">
        <v>161792</v>
      </c>
      <c r="J122" s="22">
        <v>-0.08932179825622955</v>
      </c>
    </row>
    <row r="123" spans="2:10" ht="12.75">
      <c r="B123" s="20" t="s">
        <v>279</v>
      </c>
      <c r="C123" s="21">
        <v>33368</v>
      </c>
      <c r="D123" s="22">
        <f>E24</f>
        <v>0.005999577919141297</v>
      </c>
      <c r="E123" s="23">
        <v>18835</v>
      </c>
      <c r="F123" s="22">
        <v>-0.15107946094559876</v>
      </c>
      <c r="G123" s="23">
        <v>22185</v>
      </c>
      <c r="H123" s="22">
        <v>0.0069901502428395546</v>
      </c>
      <c r="I123" s="23">
        <v>29974</v>
      </c>
      <c r="J123" s="22">
        <v>-0.10171421721409735</v>
      </c>
    </row>
    <row r="124" spans="2:10" ht="13.5" thickBot="1">
      <c r="B124" s="20" t="s">
        <v>281</v>
      </c>
      <c r="C124" s="21">
        <v>44991</v>
      </c>
      <c r="D124" s="22">
        <f>E27</f>
        <v>0.0946981678386336</v>
      </c>
      <c r="E124" s="23">
        <v>70109</v>
      </c>
      <c r="F124" s="22">
        <v>0.0462624423584892</v>
      </c>
      <c r="G124" s="23">
        <v>65558</v>
      </c>
      <c r="H124" s="22">
        <v>0.05859936378756325</v>
      </c>
      <c r="I124" s="23">
        <v>47564</v>
      </c>
      <c r="J124" s="22">
        <v>0.05730671764548978</v>
      </c>
    </row>
    <row r="125" spans="2:10" ht="12.75">
      <c r="B125" s="34" t="s">
        <v>12</v>
      </c>
      <c r="C125" s="35">
        <v>429491</v>
      </c>
      <c r="D125" s="36">
        <f>E30</f>
        <v>-0.07750614292832969</v>
      </c>
      <c r="E125" s="35">
        <v>1373490</v>
      </c>
      <c r="F125" s="36">
        <v>-0.0003013310973692951</v>
      </c>
      <c r="G125" s="35">
        <v>1399602</v>
      </c>
      <c r="H125" s="36">
        <v>-0.009460922737213107</v>
      </c>
      <c r="I125" s="35">
        <v>409540</v>
      </c>
      <c r="J125" s="36">
        <v>-0.0454458579426531</v>
      </c>
    </row>
    <row r="126" spans="2:10" ht="13.5" thickBot="1"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2:10" ht="12.75">
      <c r="B127" s="20"/>
      <c r="C127" s="598" t="s">
        <v>33</v>
      </c>
      <c r="D127" s="599"/>
      <c r="E127" s="599"/>
      <c r="F127" s="600"/>
      <c r="G127" s="601" t="s">
        <v>34</v>
      </c>
      <c r="H127" s="602"/>
      <c r="I127" s="602"/>
      <c r="J127" s="603"/>
    </row>
    <row r="128" spans="2:10" ht="12.75">
      <c r="B128" s="37"/>
      <c r="C128" s="38" t="s">
        <v>35</v>
      </c>
      <c r="D128" s="39" t="s">
        <v>0</v>
      </c>
      <c r="E128" s="39" t="s">
        <v>20</v>
      </c>
      <c r="F128" s="40" t="s">
        <v>36</v>
      </c>
      <c r="G128" s="38" t="s">
        <v>35</v>
      </c>
      <c r="H128" s="39" t="s">
        <v>0</v>
      </c>
      <c r="I128" s="39" t="s">
        <v>20</v>
      </c>
      <c r="J128" s="40" t="s">
        <v>36</v>
      </c>
    </row>
    <row r="129" spans="2:10" ht="12.75">
      <c r="B129" s="24" t="s">
        <v>272</v>
      </c>
      <c r="C129" s="25">
        <v>-0.1487506379303576</v>
      </c>
      <c r="D129" s="26">
        <v>0.03852983759833939</v>
      </c>
      <c r="E129" s="26">
        <v>-0.0387842678978525</v>
      </c>
      <c r="F129" s="27">
        <v>-0.01625795414482467</v>
      </c>
      <c r="G129" s="25">
        <f aca="true" t="shared" si="11" ref="G129:J132">C129+1</f>
        <v>0.8512493620696424</v>
      </c>
      <c r="H129" s="26">
        <f t="shared" si="11"/>
        <v>1.0385298375983394</v>
      </c>
      <c r="I129" s="26">
        <f t="shared" si="11"/>
        <v>0.9612157321021475</v>
      </c>
      <c r="J129" s="27">
        <f t="shared" si="11"/>
        <v>0.9837420458551753</v>
      </c>
    </row>
    <row r="130" spans="2:10" ht="12.75">
      <c r="B130" s="24" t="s">
        <v>275</v>
      </c>
      <c r="C130" s="25">
        <v>-0.05259593438706511</v>
      </c>
      <c r="D130" s="26">
        <v>-0.011227635653905055</v>
      </c>
      <c r="E130" s="26">
        <v>-0.004926088976743848</v>
      </c>
      <c r="F130" s="27">
        <v>-0.08932179825622955</v>
      </c>
      <c r="G130" s="25">
        <f t="shared" si="11"/>
        <v>0.9474040656129349</v>
      </c>
      <c r="H130" s="26">
        <f t="shared" si="11"/>
        <v>0.988772364346095</v>
      </c>
      <c r="I130" s="26">
        <f t="shared" si="11"/>
        <v>0.9950739110232562</v>
      </c>
      <c r="J130" s="27">
        <f t="shared" si="11"/>
        <v>0.9106782017437705</v>
      </c>
    </row>
    <row r="131" spans="2:10" ht="12.75">
      <c r="B131" s="24" t="s">
        <v>283</v>
      </c>
      <c r="C131" s="25">
        <v>0.005999577919141297</v>
      </c>
      <c r="D131" s="26">
        <v>-0.15107946094559876</v>
      </c>
      <c r="E131" s="26">
        <v>0.0069901502428395546</v>
      </c>
      <c r="F131" s="27">
        <v>-0.10171421721409735</v>
      </c>
      <c r="G131" s="25">
        <f t="shared" si="11"/>
        <v>1.0059995779191413</v>
      </c>
      <c r="H131" s="26">
        <f t="shared" si="11"/>
        <v>0.8489205390544012</v>
      </c>
      <c r="I131" s="26">
        <f t="shared" si="11"/>
        <v>1.0069901502428396</v>
      </c>
      <c r="J131" s="27">
        <f t="shared" si="11"/>
        <v>0.8982857827859027</v>
      </c>
    </row>
    <row r="132" spans="2:10" ht="13.5" thickBot="1">
      <c r="B132" s="24" t="s">
        <v>281</v>
      </c>
      <c r="C132" s="28">
        <v>0.0946981678386336</v>
      </c>
      <c r="D132" s="29">
        <v>0.0462624423584892</v>
      </c>
      <c r="E132" s="29">
        <v>0.05859936378756325</v>
      </c>
      <c r="F132" s="30">
        <v>0.05730671764548978</v>
      </c>
      <c r="G132" s="28">
        <f t="shared" si="11"/>
        <v>1.0946981678386336</v>
      </c>
      <c r="H132" s="29">
        <f t="shared" si="11"/>
        <v>1.0462624423584892</v>
      </c>
      <c r="I132" s="29">
        <f t="shared" si="11"/>
        <v>1.0585993637875633</v>
      </c>
      <c r="J132" s="30">
        <f t="shared" si="11"/>
        <v>1.0573067176454898</v>
      </c>
    </row>
    <row r="135" ht="18">
      <c r="B135" s="9" t="s">
        <v>282</v>
      </c>
    </row>
    <row r="171" ht="18">
      <c r="B171" s="9" t="s">
        <v>46</v>
      </c>
    </row>
    <row r="173" spans="1:5" ht="15">
      <c r="A173" s="547"/>
      <c r="B173" s="548" t="s">
        <v>396</v>
      </c>
      <c r="E173" s="545"/>
    </row>
    <row r="174" spans="2:8" ht="38.25">
      <c r="B174" s="235" t="s">
        <v>38</v>
      </c>
      <c r="C174" s="236" t="s">
        <v>17</v>
      </c>
      <c r="D174" s="236" t="s">
        <v>48</v>
      </c>
      <c r="E174" s="236" t="s">
        <v>284</v>
      </c>
      <c r="F174" s="236" t="s">
        <v>285</v>
      </c>
      <c r="G174" s="236" t="s">
        <v>286</v>
      </c>
      <c r="H174" s="236" t="s">
        <v>47</v>
      </c>
    </row>
    <row r="175" spans="2:8" ht="13.5" thickBot="1">
      <c r="B175" s="238" t="s">
        <v>44</v>
      </c>
      <c r="C175" s="238"/>
      <c r="D175" s="238"/>
      <c r="E175" s="238"/>
      <c r="F175" s="238"/>
      <c r="G175" s="238"/>
      <c r="H175" s="238"/>
    </row>
    <row r="176" spans="2:8" ht="12.75">
      <c r="B176" s="239" t="s">
        <v>39</v>
      </c>
      <c r="C176" s="240">
        <v>358</v>
      </c>
      <c r="D176" s="240">
        <v>173471</v>
      </c>
      <c r="E176" s="240">
        <v>297679</v>
      </c>
      <c r="F176" s="240">
        <v>301047</v>
      </c>
      <c r="G176" s="240">
        <v>170210</v>
      </c>
      <c r="H176" s="240">
        <f>F176+G176</f>
        <v>471257</v>
      </c>
    </row>
    <row r="177" spans="2:8" ht="12.75">
      <c r="B177" s="241" t="s">
        <v>40</v>
      </c>
      <c r="C177" s="242">
        <v>372</v>
      </c>
      <c r="D177" s="242">
        <v>177661</v>
      </c>
      <c r="E177" s="242">
        <v>986867</v>
      </c>
      <c r="F177" s="242">
        <v>1010812</v>
      </c>
      <c r="G177" s="242">
        <v>161792</v>
      </c>
      <c r="H177" s="243">
        <f>F177+G177</f>
        <v>1172604</v>
      </c>
    </row>
    <row r="178" spans="2:8" ht="12.75">
      <c r="B178" s="241" t="s">
        <v>41</v>
      </c>
      <c r="C178" s="242">
        <v>24</v>
      </c>
      <c r="D178" s="242">
        <v>33368</v>
      </c>
      <c r="E178" s="242">
        <v>18835</v>
      </c>
      <c r="F178" s="242">
        <v>22185</v>
      </c>
      <c r="G178" s="242">
        <v>29974</v>
      </c>
      <c r="H178" s="243">
        <f>F178+G178</f>
        <v>52159</v>
      </c>
    </row>
    <row r="179" spans="2:8" ht="13.5" thickBot="1">
      <c r="B179" s="244" t="s">
        <v>42</v>
      </c>
      <c r="C179" s="245">
        <v>56</v>
      </c>
      <c r="D179" s="245">
        <v>44991</v>
      </c>
      <c r="E179" s="245">
        <v>70109</v>
      </c>
      <c r="F179" s="245">
        <v>65558</v>
      </c>
      <c r="G179" s="245">
        <v>47564</v>
      </c>
      <c r="H179" s="246">
        <f>F179+G179</f>
        <v>113122</v>
      </c>
    </row>
    <row r="180" spans="2:8" ht="12.75">
      <c r="B180" s="247" t="s">
        <v>43</v>
      </c>
      <c r="C180" s="248"/>
      <c r="D180" s="248">
        <v>429491</v>
      </c>
      <c r="E180" s="248">
        <v>1373490</v>
      </c>
      <c r="F180" s="248">
        <v>1399602</v>
      </c>
      <c r="G180" s="248">
        <v>409540</v>
      </c>
      <c r="H180" s="249">
        <f>F180+G180</f>
        <v>1809142</v>
      </c>
    </row>
    <row r="181" spans="2:8" ht="13.5" thickBot="1">
      <c r="B181" s="266" t="s">
        <v>45</v>
      </c>
      <c r="C181" s="267"/>
      <c r="D181" s="267"/>
      <c r="E181" s="267"/>
      <c r="F181" s="267"/>
      <c r="G181" s="267"/>
      <c r="H181" s="267"/>
    </row>
    <row r="182" spans="2:8" ht="12.75">
      <c r="B182" s="239" t="s">
        <v>39</v>
      </c>
      <c r="C182" s="250">
        <v>2681</v>
      </c>
      <c r="D182" s="250">
        <v>1222440</v>
      </c>
      <c r="E182" s="250">
        <v>1835562</v>
      </c>
      <c r="F182" s="250">
        <v>1869740</v>
      </c>
      <c r="G182" s="250">
        <v>1176203</v>
      </c>
      <c r="H182" s="251">
        <f>F182+G182</f>
        <v>3045943</v>
      </c>
    </row>
    <row r="183" spans="2:8" ht="12.75">
      <c r="B183" s="241" t="s">
        <v>40</v>
      </c>
      <c r="C183" s="252">
        <v>2711</v>
      </c>
      <c r="D183" s="252">
        <v>1148679</v>
      </c>
      <c r="E183" s="252">
        <v>6426146</v>
      </c>
      <c r="F183" s="252">
        <v>6516269</v>
      </c>
      <c r="G183" s="252">
        <v>1077489</v>
      </c>
      <c r="H183" s="253">
        <f>F183+G183</f>
        <v>7593758</v>
      </c>
    </row>
    <row r="184" spans="2:8" ht="12.75">
      <c r="B184" s="241" t="s">
        <v>41</v>
      </c>
      <c r="C184" s="252">
        <v>262</v>
      </c>
      <c r="D184" s="252">
        <v>356462</v>
      </c>
      <c r="E184" s="252">
        <v>211093</v>
      </c>
      <c r="F184" s="252">
        <v>266167</v>
      </c>
      <c r="G184" s="252">
        <v>304241</v>
      </c>
      <c r="H184" s="253">
        <f>F184+G184</f>
        <v>570408</v>
      </c>
    </row>
    <row r="185" spans="2:8" ht="13.5" thickBot="1">
      <c r="B185" s="244" t="s">
        <v>42</v>
      </c>
      <c r="C185" s="254">
        <v>366</v>
      </c>
      <c r="D185" s="254">
        <v>299213</v>
      </c>
      <c r="E185" s="254">
        <v>459885</v>
      </c>
      <c r="F185" s="254">
        <v>408037</v>
      </c>
      <c r="G185" s="254">
        <v>326379</v>
      </c>
      <c r="H185" s="255">
        <f>F185+G185</f>
        <v>734416</v>
      </c>
    </row>
    <row r="186" spans="2:8" ht="12.75">
      <c r="B186" s="247" t="s">
        <v>12</v>
      </c>
      <c r="C186" s="256">
        <v>6020</v>
      </c>
      <c r="D186" s="256">
        <v>3026794</v>
      </c>
      <c r="E186" s="256">
        <v>8932686</v>
      </c>
      <c r="F186" s="256">
        <v>9060213</v>
      </c>
      <c r="G186" s="256">
        <v>2884312</v>
      </c>
      <c r="H186" s="257">
        <f>F186+G186</f>
        <v>11944525</v>
      </c>
    </row>
    <row r="187" spans="2:8" ht="13.5" thickBot="1">
      <c r="B187" s="268" t="s">
        <v>287</v>
      </c>
      <c r="C187" s="269"/>
      <c r="D187" s="269"/>
      <c r="E187" s="269"/>
      <c r="F187" s="269"/>
      <c r="G187" s="269"/>
      <c r="H187" s="269"/>
    </row>
    <row r="188" spans="2:8" ht="12.75">
      <c r="B188" s="258" t="s">
        <v>39</v>
      </c>
      <c r="C188" s="259">
        <f aca="true" t="shared" si="12" ref="C188:H188">C176/C182</f>
        <v>0.13353226408056695</v>
      </c>
      <c r="D188" s="259">
        <f t="shared" si="12"/>
        <v>0.14190553319590327</v>
      </c>
      <c r="E188" s="259">
        <f t="shared" si="12"/>
        <v>0.1621732199729565</v>
      </c>
      <c r="F188" s="259">
        <f t="shared" si="12"/>
        <v>0.1610100869639629</v>
      </c>
      <c r="G188" s="259">
        <f t="shared" si="12"/>
        <v>0.14471141461125334</v>
      </c>
      <c r="H188" s="259">
        <f t="shared" si="12"/>
        <v>0.15471628983208155</v>
      </c>
    </row>
    <row r="189" spans="2:8" ht="12.75">
      <c r="B189" s="260" t="s">
        <v>40</v>
      </c>
      <c r="C189" s="261">
        <f aca="true" t="shared" si="13" ref="C189:G191">C177/C183</f>
        <v>0.13721873847288824</v>
      </c>
      <c r="D189" s="261">
        <f t="shared" si="13"/>
        <v>0.15466548966247315</v>
      </c>
      <c r="E189" s="261">
        <f t="shared" si="13"/>
        <v>0.15357058491979486</v>
      </c>
      <c r="F189" s="261">
        <f t="shared" si="13"/>
        <v>0.15512128182553545</v>
      </c>
      <c r="G189" s="261">
        <f t="shared" si="13"/>
        <v>0.15015652131947518</v>
      </c>
      <c r="H189" s="261">
        <f>H177/H183</f>
        <v>0.1544168249765136</v>
      </c>
    </row>
    <row r="190" spans="2:8" ht="12.75">
      <c r="B190" s="260" t="s">
        <v>41</v>
      </c>
      <c r="C190" s="261">
        <f t="shared" si="13"/>
        <v>0.0916030534351145</v>
      </c>
      <c r="D190" s="261">
        <f t="shared" si="13"/>
        <v>0.09360885592293147</v>
      </c>
      <c r="E190" s="261">
        <f t="shared" si="13"/>
        <v>0.0892260757107057</v>
      </c>
      <c r="F190" s="261">
        <f t="shared" si="13"/>
        <v>0.0833499269255768</v>
      </c>
      <c r="G190" s="261">
        <f t="shared" si="13"/>
        <v>0.09852058072383407</v>
      </c>
      <c r="H190" s="261">
        <f>H178/H184</f>
        <v>0.0914415646344371</v>
      </c>
    </row>
    <row r="191" spans="2:8" ht="13.5" thickBot="1">
      <c r="B191" s="262" t="s">
        <v>42</v>
      </c>
      <c r="C191" s="263">
        <f t="shared" si="13"/>
        <v>0.15300546448087432</v>
      </c>
      <c r="D191" s="263">
        <f t="shared" si="13"/>
        <v>0.15036445608980895</v>
      </c>
      <c r="E191" s="263">
        <f t="shared" si="13"/>
        <v>0.15244898181067007</v>
      </c>
      <c r="F191" s="263">
        <f t="shared" si="13"/>
        <v>0.16066680227528385</v>
      </c>
      <c r="G191" s="263">
        <f t="shared" si="13"/>
        <v>0.14573241538211712</v>
      </c>
      <c r="H191" s="263">
        <f>H179/H185</f>
        <v>0.15402986863031307</v>
      </c>
    </row>
    <row r="192" spans="2:11" ht="14.25">
      <c r="B192" s="264"/>
      <c r="C192" s="265">
        <f>C180/C186</f>
        <v>0</v>
      </c>
      <c r="D192" s="265">
        <f>D180/D186</f>
        <v>0.14189634312741467</v>
      </c>
      <c r="E192" s="265">
        <f>E180/E186</f>
        <v>0.1537600224613291</v>
      </c>
      <c r="F192" s="265">
        <f>F180/F186</f>
        <v>0.15447782519020248</v>
      </c>
      <c r="G192" s="265">
        <f>G180/G186</f>
        <v>0.1419888001020694</v>
      </c>
      <c r="H192" s="265">
        <f>H180/H186</f>
        <v>0.15146202967468358</v>
      </c>
      <c r="I192" s="46"/>
      <c r="J192" s="46"/>
      <c r="K192" s="46"/>
    </row>
    <row r="193" ht="12.75">
      <c r="B193" s="48" t="s">
        <v>288</v>
      </c>
    </row>
    <row r="195" ht="12.75">
      <c r="B195" s="546" t="s">
        <v>394</v>
      </c>
    </row>
  </sheetData>
  <mergeCells count="10">
    <mergeCell ref="C127:F127"/>
    <mergeCell ref="G127:J127"/>
    <mergeCell ref="C119:D119"/>
    <mergeCell ref="E119:F119"/>
    <mergeCell ref="G119:H119"/>
    <mergeCell ref="I119:J119"/>
    <mergeCell ref="C4:E4"/>
    <mergeCell ref="F4:H4"/>
    <mergeCell ref="I4:K4"/>
    <mergeCell ref="L4:N4"/>
  </mergeCells>
  <printOptions/>
  <pageMargins left="0.81" right="0.27" top="0.984251968503937" bottom="0.984251968503937" header="0" footer="0"/>
  <pageSetup fitToHeight="1" fitToWidth="1" horizontalDpi="600" verticalDpi="600" orientation="landscape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1"/>
  <sheetViews>
    <sheetView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39.57421875" style="0" customWidth="1"/>
    <col min="4" max="4" width="13.7109375" style="0" customWidth="1"/>
    <col min="5" max="9" width="12.7109375" style="0" customWidth="1"/>
    <col min="10" max="10" width="11.140625" style="0" customWidth="1"/>
    <col min="12" max="12" width="14.28125" style="0" customWidth="1"/>
  </cols>
  <sheetData>
    <row r="1" spans="2:11" ht="18">
      <c r="B1" s="70" t="s">
        <v>289</v>
      </c>
      <c r="C1" s="70"/>
      <c r="D1" s="70"/>
      <c r="E1" s="70"/>
      <c r="F1" s="70"/>
      <c r="G1" s="70"/>
      <c r="H1" s="70"/>
      <c r="I1" s="70"/>
      <c r="J1" s="70"/>
      <c r="K1" s="70"/>
    </row>
    <row r="2" ht="12.75">
      <c r="B2" s="47" t="s">
        <v>391</v>
      </c>
    </row>
    <row r="3" spans="3:12" ht="12.75" customHeight="1">
      <c r="C3" s="605" t="s">
        <v>49</v>
      </c>
      <c r="D3" s="605"/>
      <c r="E3" s="605"/>
      <c r="F3" s="605"/>
      <c r="G3" s="605"/>
      <c r="H3" s="605"/>
      <c r="I3" s="605"/>
      <c r="J3" s="226"/>
      <c r="K3" s="226"/>
      <c r="L3" s="226"/>
    </row>
    <row r="4" spans="3:12" ht="12.75" customHeight="1">
      <c r="C4" s="605" t="s">
        <v>50</v>
      </c>
      <c r="D4" s="605"/>
      <c r="E4" s="605"/>
      <c r="F4" s="605"/>
      <c r="G4" s="605"/>
      <c r="H4" s="605"/>
      <c r="I4" s="605"/>
      <c r="J4" s="226"/>
      <c r="K4" s="226"/>
      <c r="L4" s="226"/>
    </row>
    <row r="5" ht="12.75">
      <c r="B5" s="596" t="s">
        <v>519</v>
      </c>
    </row>
    <row r="6" ht="12.75">
      <c r="B6" s="544"/>
    </row>
    <row r="7" spans="2:9" ht="34.5" thickBot="1">
      <c r="B7" s="270" t="s">
        <v>302</v>
      </c>
      <c r="C7" s="271" t="s">
        <v>303</v>
      </c>
      <c r="D7" s="272" t="s">
        <v>485</v>
      </c>
      <c r="E7" s="273" t="s">
        <v>304</v>
      </c>
      <c r="F7" s="274" t="s">
        <v>305</v>
      </c>
      <c r="G7" s="274" t="s">
        <v>51</v>
      </c>
      <c r="H7" s="274" t="s">
        <v>52</v>
      </c>
      <c r="I7" s="274" t="s">
        <v>306</v>
      </c>
    </row>
    <row r="8" spans="2:9" ht="12.75">
      <c r="B8" s="49" t="s">
        <v>53</v>
      </c>
      <c r="C8" s="50" t="s">
        <v>54</v>
      </c>
      <c r="D8" s="51">
        <v>140786</v>
      </c>
      <c r="E8" s="52">
        <v>247.3</v>
      </c>
      <c r="F8" s="53">
        <v>569.2923574605742</v>
      </c>
      <c r="G8" s="54">
        <v>0.01859565589754888</v>
      </c>
      <c r="H8" s="54">
        <v>0.023661651791229026</v>
      </c>
      <c r="I8" s="55">
        <v>13</v>
      </c>
    </row>
    <row r="9" spans="2:9" ht="12.75">
      <c r="B9" s="542"/>
      <c r="C9" s="57" t="s">
        <v>55</v>
      </c>
      <c r="D9" s="58">
        <v>266318</v>
      </c>
      <c r="E9" s="59">
        <v>28.8</v>
      </c>
      <c r="F9" s="60">
        <v>9247.152777777777</v>
      </c>
      <c r="G9" s="61">
        <v>0.035176494021588955</v>
      </c>
      <c r="H9" s="61">
        <v>0.044759591022804336</v>
      </c>
      <c r="I9" s="62">
        <v>3</v>
      </c>
    </row>
    <row r="10" spans="2:9" ht="12.75">
      <c r="B10" s="543"/>
      <c r="C10" s="57" t="s">
        <v>53</v>
      </c>
      <c r="D10" s="58">
        <v>1620943</v>
      </c>
      <c r="E10" s="59">
        <v>97.5</v>
      </c>
      <c r="F10" s="60">
        <v>16625.05641025641</v>
      </c>
      <c r="G10" s="61">
        <v>0.2141015318109796</v>
      </c>
      <c r="H10" s="61"/>
      <c r="I10" s="62">
        <v>1</v>
      </c>
    </row>
    <row r="11" spans="2:9" ht="12.75">
      <c r="B11" s="543"/>
      <c r="C11" s="57" t="s">
        <v>56</v>
      </c>
      <c r="D11" s="58">
        <v>40981</v>
      </c>
      <c r="E11" s="59">
        <v>1126.3</v>
      </c>
      <c r="F11" s="60">
        <v>36.38551007724408</v>
      </c>
      <c r="G11" s="61">
        <v>0.005412957071991893</v>
      </c>
      <c r="H11" s="61">
        <v>0.006887603540525028</v>
      </c>
      <c r="I11" s="62">
        <v>30</v>
      </c>
    </row>
    <row r="12" spans="2:9" ht="12.75">
      <c r="B12" s="543"/>
      <c r="C12" s="57" t="s">
        <v>57</v>
      </c>
      <c r="D12" s="58">
        <v>176002</v>
      </c>
      <c r="E12" s="59">
        <v>67.3</v>
      </c>
      <c r="F12" s="60">
        <v>2615.1857355126303</v>
      </c>
      <c r="G12" s="61">
        <v>0.023247145520722216</v>
      </c>
      <c r="H12" s="61">
        <v>0.02958034206923906</v>
      </c>
      <c r="I12" s="62">
        <v>5</v>
      </c>
    </row>
    <row r="13" spans="2:9" ht="12.75">
      <c r="B13" s="543"/>
      <c r="C13" s="57" t="s">
        <v>58</v>
      </c>
      <c r="D13" s="58">
        <v>87458</v>
      </c>
      <c r="E13" s="59">
        <v>6.9</v>
      </c>
      <c r="F13" s="60">
        <v>12675.072463768116</v>
      </c>
      <c r="G13" s="61">
        <v>0.011551850848009249</v>
      </c>
      <c r="H13" s="61">
        <v>0.014698909993588197</v>
      </c>
      <c r="I13" s="62">
        <v>1</v>
      </c>
    </row>
    <row r="14" spans="2:9" ht="12.75">
      <c r="B14" s="543"/>
      <c r="C14" s="57" t="s">
        <v>290</v>
      </c>
      <c r="D14" s="58">
        <v>63162</v>
      </c>
      <c r="E14" s="59">
        <v>32.2</v>
      </c>
      <c r="F14" s="60">
        <v>1961.5527950310557</v>
      </c>
      <c r="G14" s="61">
        <v>0.008342724545061174</v>
      </c>
      <c r="H14" s="61">
        <v>0.010615524629136473</v>
      </c>
      <c r="I14" s="62">
        <v>1</v>
      </c>
    </row>
    <row r="15" spans="2:9" ht="12.75">
      <c r="B15" s="543"/>
      <c r="C15" s="57" t="s">
        <v>59</v>
      </c>
      <c r="D15" s="58">
        <v>62600</v>
      </c>
      <c r="E15" s="59">
        <v>12.4</v>
      </c>
      <c r="F15" s="60">
        <v>5048.387096774193</v>
      </c>
      <c r="G15" s="61">
        <v>0.008268493026199763</v>
      </c>
      <c r="H15" s="61">
        <v>0.010521070292010121</v>
      </c>
      <c r="I15" s="62">
        <v>2</v>
      </c>
    </row>
    <row r="16" spans="2:9" ht="12.75">
      <c r="B16" s="543"/>
      <c r="C16" s="57" t="s">
        <v>60</v>
      </c>
      <c r="D16" s="58">
        <v>181185</v>
      </c>
      <c r="E16" s="59">
        <v>113.6</v>
      </c>
      <c r="F16" s="60">
        <v>1594.9383802816901</v>
      </c>
      <c r="G16" s="61">
        <v>0.02393173975961668</v>
      </c>
      <c r="H16" s="61">
        <v>0.030451439630317153</v>
      </c>
      <c r="I16" s="62">
        <v>4</v>
      </c>
    </row>
    <row r="17" spans="2:9" ht="12.75">
      <c r="B17" s="543"/>
      <c r="C17" s="57" t="s">
        <v>61</v>
      </c>
      <c r="D17" s="58">
        <v>294555</v>
      </c>
      <c r="E17" s="59">
        <v>768.4</v>
      </c>
      <c r="F17" s="60">
        <v>383.33550234252994</v>
      </c>
      <c r="G17" s="61">
        <v>0.03890616554843884</v>
      </c>
      <c r="H17" s="61">
        <v>0.04950533322464922</v>
      </c>
      <c r="I17" s="62">
        <v>35</v>
      </c>
    </row>
    <row r="18" spans="2:9" ht="12.75">
      <c r="B18" s="543"/>
      <c r="C18" s="57" t="s">
        <v>62</v>
      </c>
      <c r="D18" s="58">
        <v>110444</v>
      </c>
      <c r="E18" s="59">
        <v>847.8</v>
      </c>
      <c r="F18" s="60">
        <v>130.27129039867893</v>
      </c>
      <c r="G18" s="61">
        <v>0.014587946386351545</v>
      </c>
      <c r="H18" s="61">
        <v>0.018562125995699133</v>
      </c>
      <c r="I18" s="62">
        <v>32</v>
      </c>
    </row>
    <row r="19" spans="2:9" ht="12.75">
      <c r="B19" s="543"/>
      <c r="C19" s="57" t="s">
        <v>291</v>
      </c>
      <c r="D19" s="58">
        <v>257057</v>
      </c>
      <c r="E19" s="59">
        <v>12.3</v>
      </c>
      <c r="F19" s="60">
        <v>20898.943089430893</v>
      </c>
      <c r="G19" s="61">
        <v>0.0339532589750133</v>
      </c>
      <c r="H19" s="61">
        <v>0.04320311127880584</v>
      </c>
      <c r="I19" s="62">
        <v>1</v>
      </c>
    </row>
    <row r="20" spans="2:9" ht="12.75">
      <c r="B20" s="543"/>
      <c r="C20" s="57" t="s">
        <v>63</v>
      </c>
      <c r="D20" s="58">
        <v>186084</v>
      </c>
      <c r="E20" s="59">
        <v>1294.1</v>
      </c>
      <c r="F20" s="60">
        <v>143.79414264739975</v>
      </c>
      <c r="G20" s="61">
        <v>0.024578821985421034</v>
      </c>
      <c r="H20" s="61">
        <v>0.03127480581818549</v>
      </c>
      <c r="I20" s="62">
        <v>35</v>
      </c>
    </row>
    <row r="21" spans="2:9" ht="12.75">
      <c r="B21" s="543"/>
      <c r="C21" s="57" t="s">
        <v>64</v>
      </c>
      <c r="D21" s="58">
        <v>135009</v>
      </c>
      <c r="E21" s="59">
        <v>152.3</v>
      </c>
      <c r="F21" s="60">
        <v>886.4674983585029</v>
      </c>
      <c r="G21" s="61">
        <v>0.017832603434092712</v>
      </c>
      <c r="H21" s="61">
        <v>0.022690721710127707</v>
      </c>
      <c r="I21" s="62">
        <v>9</v>
      </c>
    </row>
    <row r="22" spans="2:9" ht="12.75">
      <c r="B22" s="543"/>
      <c r="C22" s="57" t="s">
        <v>65</v>
      </c>
      <c r="D22" s="58">
        <v>286371</v>
      </c>
      <c r="E22" s="59">
        <v>179.3</v>
      </c>
      <c r="F22" s="60">
        <v>1597.1611823759063</v>
      </c>
      <c r="G22" s="61">
        <v>0.0378251855655887</v>
      </c>
      <c r="H22" s="61">
        <v>0.048129862948773645</v>
      </c>
      <c r="I22" s="62">
        <v>17</v>
      </c>
    </row>
    <row r="23" spans="2:9" ht="12.75">
      <c r="B23" s="543"/>
      <c r="C23" s="57" t="s">
        <v>66</v>
      </c>
      <c r="D23" s="58">
        <v>107409</v>
      </c>
      <c r="E23" s="59">
        <v>47.8</v>
      </c>
      <c r="F23" s="60">
        <v>2247.050209205021</v>
      </c>
      <c r="G23" s="61">
        <v>0.014187069767589303</v>
      </c>
      <c r="H23" s="61">
        <v>0.018052038961573723</v>
      </c>
      <c r="I23" s="62">
        <v>7</v>
      </c>
    </row>
    <row r="24" spans="2:9" ht="12.75">
      <c r="B24" s="543"/>
      <c r="C24" s="57" t="s">
        <v>67</v>
      </c>
      <c r="D24" s="58">
        <v>171837</v>
      </c>
      <c r="E24" s="59">
        <v>111.2</v>
      </c>
      <c r="F24" s="60">
        <v>1545.296762589928</v>
      </c>
      <c r="G24" s="61">
        <v>0.02269701335691835</v>
      </c>
      <c r="H24" s="61">
        <v>0.028880337951567782</v>
      </c>
      <c r="I24" s="62">
        <v>3</v>
      </c>
    </row>
    <row r="25" spans="2:9" ht="12.75">
      <c r="B25" s="543"/>
      <c r="C25" s="57" t="s">
        <v>68</v>
      </c>
      <c r="D25" s="58">
        <v>309629</v>
      </c>
      <c r="E25" s="59">
        <v>220.2</v>
      </c>
      <c r="F25" s="60">
        <v>1406.1262488646685</v>
      </c>
      <c r="G25" s="61">
        <v>0.040897208102383495</v>
      </c>
      <c r="H25" s="61">
        <v>0.05203879350550802</v>
      </c>
      <c r="I25" s="62">
        <v>9</v>
      </c>
    </row>
    <row r="26" spans="2:9" ht="12.75">
      <c r="B26" s="543"/>
      <c r="C26" s="57" t="s">
        <v>292</v>
      </c>
      <c r="D26" s="58">
        <v>100674</v>
      </c>
      <c r="E26" s="59">
        <v>53.5</v>
      </c>
      <c r="F26" s="60">
        <v>1881.7570093457944</v>
      </c>
      <c r="G26" s="61">
        <v>0.013297480302230592</v>
      </c>
      <c r="H26" s="61">
        <v>0.016920099529997235</v>
      </c>
      <c r="I26" s="62">
        <v>4</v>
      </c>
    </row>
    <row r="27" spans="2:9" ht="12.75">
      <c r="B27" s="543"/>
      <c r="C27" s="57" t="s">
        <v>293</v>
      </c>
      <c r="D27" s="58">
        <v>185084</v>
      </c>
      <c r="E27" s="59">
        <v>140.7</v>
      </c>
      <c r="F27" s="60">
        <v>1315.4513148543</v>
      </c>
      <c r="G27" s="61">
        <v>0.024446737432286855</v>
      </c>
      <c r="H27" s="61">
        <v>0.031106737602658165</v>
      </c>
      <c r="I27" s="62">
        <v>10</v>
      </c>
    </row>
    <row r="28" spans="2:9" ht="12.75">
      <c r="B28" s="543"/>
      <c r="C28" s="57" t="s">
        <v>294</v>
      </c>
      <c r="D28" s="58">
        <v>120593</v>
      </c>
      <c r="E28" s="59">
        <v>7</v>
      </c>
      <c r="F28" s="60">
        <v>17227.571428571428</v>
      </c>
      <c r="G28" s="61">
        <v>0.01592847251611035</v>
      </c>
      <c r="H28" s="61">
        <v>0.02026785031508589</v>
      </c>
      <c r="I28" s="62">
        <v>1</v>
      </c>
    </row>
    <row r="29" spans="2:9" ht="12.75">
      <c r="B29" s="543"/>
      <c r="C29" s="57" t="s">
        <v>69</v>
      </c>
      <c r="D29" s="58">
        <v>240705</v>
      </c>
      <c r="E29" s="59">
        <v>180.7</v>
      </c>
      <c r="F29" s="60">
        <v>1332.0697288323188</v>
      </c>
      <c r="G29" s="61">
        <v>0.03179341236216317</v>
      </c>
      <c r="H29" s="61">
        <v>0.040454859818503136</v>
      </c>
      <c r="I29" s="62">
        <v>6</v>
      </c>
    </row>
    <row r="30" spans="2:9" ht="12.75">
      <c r="B30" s="543"/>
      <c r="C30" s="57" t="s">
        <v>70</v>
      </c>
      <c r="D30" s="58">
        <v>153805</v>
      </c>
      <c r="E30" s="59">
        <v>1194.3</v>
      </c>
      <c r="F30" s="60">
        <v>128.78255044796114</v>
      </c>
      <c r="G30" s="61">
        <v>0.02031526469480279</v>
      </c>
      <c r="H30" s="61">
        <v>0.02584973188917918</v>
      </c>
      <c r="I30" s="62">
        <v>49</v>
      </c>
    </row>
    <row r="31" spans="2:9" ht="12.75">
      <c r="B31" s="543"/>
      <c r="C31" s="57" t="s">
        <v>295</v>
      </c>
      <c r="D31" s="58">
        <v>104000</v>
      </c>
      <c r="E31" s="59">
        <v>544.4</v>
      </c>
      <c r="F31" s="60">
        <v>191.03600293901545</v>
      </c>
      <c r="G31" s="61">
        <v>0.01373679352595488</v>
      </c>
      <c r="H31" s="61">
        <v>0.017479094414841096</v>
      </c>
      <c r="I31" s="62">
        <v>26</v>
      </c>
    </row>
    <row r="32" spans="2:9" ht="12.75">
      <c r="B32" s="63"/>
      <c r="C32" s="57" t="s">
        <v>296</v>
      </c>
      <c r="D32" s="58">
        <v>149359</v>
      </c>
      <c r="E32" s="59">
        <v>230.7</v>
      </c>
      <c r="F32" s="60">
        <v>647.4165583008236</v>
      </c>
      <c r="G32" s="61">
        <v>0.01972801677156822</v>
      </c>
      <c r="H32" s="61">
        <v>0.025102500602944722</v>
      </c>
      <c r="I32" s="62">
        <v>7</v>
      </c>
    </row>
    <row r="33" spans="2:9" ht="12.75">
      <c r="B33" s="275" t="s">
        <v>307</v>
      </c>
      <c r="C33" s="276" t="s">
        <v>297</v>
      </c>
      <c r="D33" s="277">
        <v>5552050</v>
      </c>
      <c r="E33" s="278">
        <v>7717</v>
      </c>
      <c r="F33" s="279">
        <v>4093.4221618577944</v>
      </c>
      <c r="G33" s="280">
        <v>0.7333400432286326</v>
      </c>
      <c r="H33" s="280">
        <v>0.9331231360184472</v>
      </c>
      <c r="I33" s="281">
        <f>SUM(I8:I32)</f>
        <v>311</v>
      </c>
    </row>
    <row r="34" spans="2:9" ht="12.75">
      <c r="B34" s="56" t="s">
        <v>71</v>
      </c>
      <c r="C34" s="57" t="s">
        <v>72</v>
      </c>
      <c r="D34" s="58">
        <v>86574</v>
      </c>
      <c r="E34" s="59">
        <v>103.8</v>
      </c>
      <c r="F34" s="60">
        <v>834.0462427745665</v>
      </c>
      <c r="G34" s="61">
        <v>0.011435088103038631</v>
      </c>
      <c r="H34" s="61">
        <v>0.014550337691062048</v>
      </c>
      <c r="I34" s="62">
        <v>3</v>
      </c>
    </row>
    <row r="35" spans="2:9" ht="12.75">
      <c r="B35" s="542"/>
      <c r="C35" s="57" t="s">
        <v>73</v>
      </c>
      <c r="D35" s="58">
        <v>141517</v>
      </c>
      <c r="E35" s="59">
        <v>1339.9</v>
      </c>
      <c r="F35" s="60">
        <v>105.61758340174639</v>
      </c>
      <c r="G35" s="61">
        <v>0.018692209705889966</v>
      </c>
      <c r="H35" s="61">
        <v>0.023784509656779494</v>
      </c>
      <c r="I35" s="62">
        <v>68</v>
      </c>
    </row>
    <row r="36" spans="2:9" ht="12.75">
      <c r="B36" s="543"/>
      <c r="C36" s="57" t="s">
        <v>71</v>
      </c>
      <c r="D36" s="58">
        <v>215650</v>
      </c>
      <c r="E36" s="59">
        <v>836.8</v>
      </c>
      <c r="F36" s="60">
        <v>257.7079349904398</v>
      </c>
      <c r="G36" s="61">
        <v>0.028484033883386245</v>
      </c>
      <c r="H36" s="61">
        <v>0.036243910678466176</v>
      </c>
      <c r="I36" s="62">
        <v>38</v>
      </c>
    </row>
    <row r="37" spans="2:9" ht="12.75">
      <c r="B37" s="543"/>
      <c r="C37" s="57" t="s">
        <v>74</v>
      </c>
      <c r="D37" s="58">
        <v>85309</v>
      </c>
      <c r="E37" s="59">
        <v>560.4</v>
      </c>
      <c r="F37" s="60">
        <v>152.22876516773735</v>
      </c>
      <c r="G37" s="61">
        <v>0.011268001143323892</v>
      </c>
      <c r="H37" s="61">
        <v>0.01433773139841999</v>
      </c>
      <c r="I37" s="62">
        <v>32</v>
      </c>
    </row>
    <row r="38" spans="2:9" ht="12.75">
      <c r="B38" s="543"/>
      <c r="C38" s="57" t="s">
        <v>75</v>
      </c>
      <c r="D38" s="58">
        <v>55855</v>
      </c>
      <c r="E38" s="59">
        <v>733.6</v>
      </c>
      <c r="F38" s="60">
        <v>76.13822246455834</v>
      </c>
      <c r="G38" s="61">
        <v>0.00737758271530971</v>
      </c>
      <c r="H38" s="61">
        <v>0.00938745017827836</v>
      </c>
      <c r="I38" s="62">
        <v>21</v>
      </c>
    </row>
    <row r="39" spans="2:9" ht="12.75">
      <c r="B39" s="543"/>
      <c r="C39" s="57" t="s">
        <v>76</v>
      </c>
      <c r="D39" s="58">
        <v>15143</v>
      </c>
      <c r="E39" s="59">
        <v>250.1</v>
      </c>
      <c r="F39" s="60">
        <v>60.54778088764494</v>
      </c>
      <c r="G39" s="61">
        <v>0.002000156388110911</v>
      </c>
      <c r="H39" s="61">
        <v>0.0025450569877301797</v>
      </c>
      <c r="I39" s="62">
        <v>11</v>
      </c>
    </row>
    <row r="40" spans="2:9" ht="12.75">
      <c r="B40" s="543"/>
      <c r="C40" s="57" t="s">
        <v>77</v>
      </c>
      <c r="D40" s="58">
        <v>26431</v>
      </c>
      <c r="E40" s="59">
        <v>992.5</v>
      </c>
      <c r="F40" s="60">
        <v>26.63073047858942</v>
      </c>
      <c r="G40" s="61">
        <v>0.003491126823889552</v>
      </c>
      <c r="H40" s="61">
        <v>0.004442211004602548</v>
      </c>
      <c r="I40" s="62">
        <v>20</v>
      </c>
    </row>
    <row r="41" spans="2:9" ht="12.75">
      <c r="B41" s="543"/>
      <c r="C41" s="57" t="s">
        <v>78</v>
      </c>
      <c r="D41" s="58">
        <v>48445</v>
      </c>
      <c r="E41" s="59">
        <v>138.7</v>
      </c>
      <c r="F41" s="60">
        <v>349.27901946647444</v>
      </c>
      <c r="G41" s="61">
        <v>0.006398836176585424</v>
      </c>
      <c r="H41" s="61">
        <v>0.008142064701220931</v>
      </c>
      <c r="I41" s="62">
        <v>4</v>
      </c>
    </row>
    <row r="42" spans="2:9" ht="12.75">
      <c r="B42" s="63"/>
      <c r="C42" s="57" t="s">
        <v>79</v>
      </c>
      <c r="D42" s="58">
        <v>86703</v>
      </c>
      <c r="E42" s="59">
        <v>925.7</v>
      </c>
      <c r="F42" s="60">
        <v>93.6620935508264</v>
      </c>
      <c r="G42" s="61">
        <v>0.011452127010392941</v>
      </c>
      <c r="H42" s="61">
        <v>0.014572018490865072</v>
      </c>
      <c r="I42" s="62">
        <v>24</v>
      </c>
    </row>
    <row r="43" spans="2:9" ht="12.75">
      <c r="B43" s="275" t="s">
        <v>308</v>
      </c>
      <c r="C43" s="276" t="s">
        <v>298</v>
      </c>
      <c r="D43" s="277">
        <v>761627</v>
      </c>
      <c r="E43" s="278">
        <v>5881.5</v>
      </c>
      <c r="F43" s="279">
        <v>217.31759702028705</v>
      </c>
      <c r="G43" s="280">
        <v>0.10059916194992727</v>
      </c>
      <c r="H43" s="280">
        <v>0.1280052907874248</v>
      </c>
      <c r="I43" s="281">
        <f>SUM(I34:I42)</f>
        <v>221</v>
      </c>
    </row>
    <row r="44" spans="2:9" ht="12.75">
      <c r="B44" s="56" t="s">
        <v>80</v>
      </c>
      <c r="C44" s="57" t="s">
        <v>81</v>
      </c>
      <c r="D44" s="58">
        <v>65944</v>
      </c>
      <c r="E44" s="59">
        <v>1901.4</v>
      </c>
      <c r="F44" s="60">
        <v>34.681813400652146</v>
      </c>
      <c r="G44" s="61">
        <v>0.008710183771880467</v>
      </c>
      <c r="H44" s="61">
        <v>0.011083090404733473</v>
      </c>
      <c r="I44" s="62">
        <v>41</v>
      </c>
    </row>
    <row r="45" spans="2:9" ht="12.75">
      <c r="B45" s="542"/>
      <c r="C45" s="57" t="s">
        <v>82</v>
      </c>
      <c r="D45" s="58">
        <v>51785</v>
      </c>
      <c r="E45" s="59">
        <v>1017.9</v>
      </c>
      <c r="F45" s="60">
        <v>50.87434915021122</v>
      </c>
      <c r="G45" s="61">
        <v>0.00683999858405359</v>
      </c>
      <c r="H45" s="61">
        <v>0.008703412541082175</v>
      </c>
      <c r="I45" s="62">
        <v>36</v>
      </c>
    </row>
    <row r="46" spans="2:9" ht="12.75">
      <c r="B46" s="543"/>
      <c r="C46" s="57" t="s">
        <v>83</v>
      </c>
      <c r="D46" s="58">
        <v>22755</v>
      </c>
      <c r="E46" s="59">
        <v>1584.7</v>
      </c>
      <c r="F46" s="60">
        <v>14.359184703729412</v>
      </c>
      <c r="G46" s="61">
        <v>0.0030055840065683005</v>
      </c>
      <c r="H46" s="61">
        <v>0.0038243922443241263</v>
      </c>
      <c r="I46" s="62">
        <v>22</v>
      </c>
    </row>
    <row r="47" spans="2:9" ht="12.75">
      <c r="B47" s="543"/>
      <c r="C47" s="57" t="s">
        <v>80</v>
      </c>
      <c r="D47" s="58">
        <v>244976</v>
      </c>
      <c r="E47" s="59">
        <v>2182.9</v>
      </c>
      <c r="F47" s="60">
        <v>112.22502176004397</v>
      </c>
      <c r="G47" s="61">
        <v>0.03235754548859925</v>
      </c>
      <c r="H47" s="61">
        <v>0.04117267916702031</v>
      </c>
      <c r="I47" s="62">
        <v>65</v>
      </c>
    </row>
    <row r="48" spans="2:9" ht="12.75">
      <c r="B48" s="543"/>
      <c r="C48" s="57" t="s">
        <v>84</v>
      </c>
      <c r="D48" s="58">
        <v>21711</v>
      </c>
      <c r="E48" s="59">
        <v>1644.8</v>
      </c>
      <c r="F48" s="60">
        <v>13.19978112840467</v>
      </c>
      <c r="G48" s="61">
        <v>0.002867687733096215</v>
      </c>
      <c r="H48" s="61">
        <v>0.003648929027313606</v>
      </c>
      <c r="I48" s="62">
        <v>26</v>
      </c>
    </row>
    <row r="49" spans="2:9" ht="12.75">
      <c r="B49" s="543"/>
      <c r="C49" s="57" t="s">
        <v>85</v>
      </c>
      <c r="D49" s="58">
        <v>25805</v>
      </c>
      <c r="E49" s="59">
        <v>3071.2</v>
      </c>
      <c r="F49" s="60">
        <v>8.40225319093514</v>
      </c>
      <c r="G49" s="61">
        <v>0.0034084418936275542</v>
      </c>
      <c r="H49" s="61">
        <v>0.004337000301682447</v>
      </c>
      <c r="I49" s="62">
        <v>32</v>
      </c>
    </row>
    <row r="50" spans="2:9" ht="12.75">
      <c r="B50" s="63"/>
      <c r="C50" s="57" t="s">
        <v>86</v>
      </c>
      <c r="D50" s="58">
        <v>10056</v>
      </c>
      <c r="E50" s="59">
        <v>620</v>
      </c>
      <c r="F50" s="60">
        <v>16.219354838709677</v>
      </c>
      <c r="G50" s="61">
        <v>0.0013282422663173294</v>
      </c>
      <c r="H50" s="61">
        <v>0.0016900939753427121</v>
      </c>
      <c r="I50" s="62">
        <v>9</v>
      </c>
    </row>
    <row r="51" spans="2:9" ht="12.75">
      <c r="B51" s="275" t="s">
        <v>309</v>
      </c>
      <c r="C51" s="276" t="s">
        <v>299</v>
      </c>
      <c r="D51" s="277">
        <v>443032</v>
      </c>
      <c r="E51" s="278">
        <v>12022.9</v>
      </c>
      <c r="F51" s="279">
        <v>35.70882259609804</v>
      </c>
      <c r="G51" s="280">
        <v>0.058517683744142714</v>
      </c>
      <c r="H51" s="280">
        <v>0.07445959766149884</v>
      </c>
      <c r="I51" s="281">
        <f>SUM(I44:I50)</f>
        <v>231</v>
      </c>
    </row>
    <row r="52" spans="2:9" ht="12.75">
      <c r="B52" s="56" t="s">
        <v>87</v>
      </c>
      <c r="C52" s="57" t="s">
        <v>88</v>
      </c>
      <c r="D52" s="58">
        <v>138393</v>
      </c>
      <c r="E52" s="59">
        <v>485.1</v>
      </c>
      <c r="F52" s="60">
        <v>285.28756957328386</v>
      </c>
      <c r="G52" s="61">
        <v>0.018279577561898783</v>
      </c>
      <c r="H52" s="61">
        <v>0.023259464551472153</v>
      </c>
      <c r="I52" s="62">
        <v>25</v>
      </c>
    </row>
    <row r="53" spans="2:9" ht="12.75">
      <c r="B53" s="542"/>
      <c r="C53" s="57" t="s">
        <v>89</v>
      </c>
      <c r="D53" s="58">
        <v>22515</v>
      </c>
      <c r="E53" s="59">
        <v>1080.3</v>
      </c>
      <c r="F53" s="60">
        <v>20.841432935295753</v>
      </c>
      <c r="G53" s="61">
        <v>0.002973883713816097</v>
      </c>
      <c r="H53" s="61">
        <v>0.00378405587259757</v>
      </c>
      <c r="I53" s="62">
        <v>31</v>
      </c>
    </row>
    <row r="54" spans="2:9" ht="12.75">
      <c r="B54" s="543"/>
      <c r="C54" s="57" t="s">
        <v>90</v>
      </c>
      <c r="D54" s="58">
        <v>193535</v>
      </c>
      <c r="E54" s="59">
        <v>694.6</v>
      </c>
      <c r="F54" s="60">
        <v>278.62798733083787</v>
      </c>
      <c r="G54" s="61">
        <v>0.025562983990823823</v>
      </c>
      <c r="H54" s="61">
        <v>0.03252708209207953</v>
      </c>
      <c r="I54" s="62">
        <v>28</v>
      </c>
    </row>
    <row r="55" spans="2:9" ht="12.75">
      <c r="B55" s="543"/>
      <c r="C55" s="57" t="s">
        <v>87</v>
      </c>
      <c r="D55" s="58">
        <v>213526</v>
      </c>
      <c r="E55" s="59">
        <v>211.1</v>
      </c>
      <c r="F55" s="60">
        <v>1011.4921837991474</v>
      </c>
      <c r="G55" s="61">
        <v>0.028203486292529244</v>
      </c>
      <c r="H55" s="61">
        <v>0.035886933788686154</v>
      </c>
      <c r="I55" s="62">
        <v>13</v>
      </c>
    </row>
    <row r="56" spans="2:9" ht="12.75">
      <c r="B56" s="63"/>
      <c r="C56" s="57" t="s">
        <v>91</v>
      </c>
      <c r="D56" s="58">
        <v>66948</v>
      </c>
      <c r="E56" s="59">
        <v>1107.1</v>
      </c>
      <c r="F56" s="60">
        <v>60.47150212266282</v>
      </c>
      <c r="G56" s="61">
        <v>0.008842796663227185</v>
      </c>
      <c r="H56" s="61">
        <v>0.011251830893122901</v>
      </c>
      <c r="I56" s="62">
        <v>43</v>
      </c>
    </row>
    <row r="57" spans="2:9" ht="12.75">
      <c r="B57" s="275" t="s">
        <v>310</v>
      </c>
      <c r="C57" s="276" t="s">
        <v>300</v>
      </c>
      <c r="D57" s="277">
        <v>814199</v>
      </c>
      <c r="E57" s="278">
        <v>6253.1</v>
      </c>
      <c r="F57" s="279">
        <v>233.41167330620294</v>
      </c>
      <c r="G57" s="280">
        <v>0.10754311107729747</v>
      </c>
      <c r="H57" s="280">
        <v>0.13684097301412698</v>
      </c>
      <c r="I57" s="281">
        <f>SUM(I52:I56)</f>
        <v>140</v>
      </c>
    </row>
    <row r="58" spans="2:9" ht="12.75">
      <c r="B58" s="63" t="s">
        <v>92</v>
      </c>
      <c r="C58" s="64" t="s">
        <v>93</v>
      </c>
      <c r="D58" s="65">
        <v>72121</v>
      </c>
      <c r="E58" s="66">
        <v>708.1</v>
      </c>
      <c r="F58" s="67">
        <v>101.85143341335969</v>
      </c>
      <c r="G58" s="68">
        <v>0.009526070056590306</v>
      </c>
      <c r="H58" s="68">
        <v>0.012121247772045717</v>
      </c>
      <c r="I58" s="69">
        <v>12</v>
      </c>
    </row>
    <row r="59" spans="2:9" ht="12.75">
      <c r="B59" s="542"/>
      <c r="C59" s="57" t="s">
        <v>94</v>
      </c>
      <c r="D59" s="58">
        <v>24036</v>
      </c>
      <c r="E59" s="59">
        <v>979.3</v>
      </c>
      <c r="F59" s="60">
        <v>24.544062085162874</v>
      </c>
      <c r="G59" s="61">
        <v>0.0031747843191331873</v>
      </c>
      <c r="H59" s="61">
        <v>0.004039687628414621</v>
      </c>
      <c r="I59" s="62">
        <v>18</v>
      </c>
    </row>
    <row r="60" spans="2:9" ht="12.75">
      <c r="B60" s="63"/>
      <c r="C60" s="57" t="s">
        <v>95</v>
      </c>
      <c r="D60" s="58">
        <v>83125</v>
      </c>
      <c r="E60" s="59">
        <v>987.5</v>
      </c>
      <c r="F60" s="60">
        <v>84.17721518987342</v>
      </c>
      <c r="G60" s="61">
        <v>0.01097952847927884</v>
      </c>
      <c r="H60" s="61">
        <v>0.013970670415708328</v>
      </c>
      <c r="I60" s="62">
        <v>14</v>
      </c>
    </row>
    <row r="61" spans="2:9" ht="13.5" thickBot="1">
      <c r="B61" s="282" t="s">
        <v>311</v>
      </c>
      <c r="C61" s="283" t="s">
        <v>301</v>
      </c>
      <c r="D61" s="284"/>
      <c r="E61" s="285"/>
      <c r="F61" s="286"/>
      <c r="G61" s="287"/>
      <c r="H61" s="287"/>
      <c r="I61" s="288">
        <f>SUM(I58:I60)</f>
        <v>44</v>
      </c>
    </row>
    <row r="62" spans="2:9" ht="12.75">
      <c r="B62" s="289" t="s">
        <v>96</v>
      </c>
      <c r="C62" s="290" t="s">
        <v>147</v>
      </c>
      <c r="D62" s="291">
        <v>7570908</v>
      </c>
      <c r="E62" s="292">
        <v>31874.5</v>
      </c>
      <c r="F62" s="293">
        <v>1144.9650636950955</v>
      </c>
      <c r="G62" s="293"/>
      <c r="H62" s="293"/>
      <c r="I62" s="294">
        <f>SUM(I57+I51+I43+I33+I61)</f>
        <v>947</v>
      </c>
    </row>
    <row r="65" ht="18">
      <c r="B65" s="70" t="s">
        <v>115</v>
      </c>
    </row>
    <row r="67" spans="3:8" ht="15.75">
      <c r="C67" s="87" t="s">
        <v>312</v>
      </c>
      <c r="D67" s="87"/>
      <c r="E67" s="87"/>
      <c r="F67" s="87"/>
      <c r="G67" s="87"/>
      <c r="H67" s="87"/>
    </row>
    <row r="69" spans="3:9" ht="26.25" thickBot="1">
      <c r="C69" s="270" t="s">
        <v>97</v>
      </c>
      <c r="D69" s="295" t="s">
        <v>53</v>
      </c>
      <c r="E69" s="295" t="s">
        <v>71</v>
      </c>
      <c r="F69" s="295" t="s">
        <v>80</v>
      </c>
      <c r="G69" s="295" t="s">
        <v>87</v>
      </c>
      <c r="H69" s="295" t="s">
        <v>92</v>
      </c>
      <c r="I69" s="295" t="s">
        <v>98</v>
      </c>
    </row>
    <row r="70" spans="3:9" ht="12.75">
      <c r="C70" s="71" t="s">
        <v>99</v>
      </c>
      <c r="D70" s="72">
        <v>61</v>
      </c>
      <c r="E70" s="72">
        <v>4</v>
      </c>
      <c r="F70" s="72">
        <v>4</v>
      </c>
      <c r="G70" s="72">
        <v>10</v>
      </c>
      <c r="H70" s="72"/>
      <c r="I70" s="72">
        <v>79</v>
      </c>
    </row>
    <row r="71" spans="3:9" ht="12.75">
      <c r="C71" s="73" t="s">
        <v>100</v>
      </c>
      <c r="D71" s="74">
        <v>103</v>
      </c>
      <c r="E71" s="74">
        <v>6</v>
      </c>
      <c r="F71" s="74">
        <v>8</v>
      </c>
      <c r="G71" s="74">
        <v>14</v>
      </c>
      <c r="H71" s="74"/>
      <c r="I71" s="74">
        <v>131</v>
      </c>
    </row>
    <row r="72" spans="3:9" ht="12.75">
      <c r="C72" s="73" t="s">
        <v>313</v>
      </c>
      <c r="D72" s="74">
        <v>109</v>
      </c>
      <c r="E72" s="74">
        <v>29</v>
      </c>
      <c r="F72" s="74">
        <v>10</v>
      </c>
      <c r="G72" s="74">
        <v>12</v>
      </c>
      <c r="H72" s="74">
        <v>10</v>
      </c>
      <c r="I72" s="74">
        <v>170</v>
      </c>
    </row>
    <row r="73" spans="3:9" ht="12.75">
      <c r="C73" s="73" t="s">
        <v>40</v>
      </c>
      <c r="D73" s="74">
        <v>49</v>
      </c>
      <c r="E73" s="74">
        <v>8</v>
      </c>
      <c r="F73" s="74">
        <v>3</v>
      </c>
      <c r="G73" s="74">
        <v>7</v>
      </c>
      <c r="H73" s="74">
        <v>1</v>
      </c>
      <c r="I73" s="74">
        <v>68</v>
      </c>
    </row>
    <row r="74" spans="3:9" ht="12.75">
      <c r="C74" s="73" t="s">
        <v>42</v>
      </c>
      <c r="D74" s="74">
        <v>44</v>
      </c>
      <c r="E74" s="74">
        <v>4</v>
      </c>
      <c r="F74" s="74">
        <v>2</v>
      </c>
      <c r="G74" s="74">
        <v>4</v>
      </c>
      <c r="H74" s="74">
        <v>1</v>
      </c>
      <c r="I74" s="74">
        <v>55</v>
      </c>
    </row>
    <row r="75" spans="3:9" ht="12.75">
      <c r="C75" s="73" t="s">
        <v>41</v>
      </c>
      <c r="D75" s="74">
        <v>17</v>
      </c>
      <c r="E75" s="74">
        <v>3</v>
      </c>
      <c r="F75" s="74">
        <v>1</v>
      </c>
      <c r="G75" s="74">
        <v>2</v>
      </c>
      <c r="H75" s="74"/>
      <c r="I75" s="74">
        <v>23</v>
      </c>
    </row>
    <row r="76" spans="3:9" ht="12.75">
      <c r="C76" s="73" t="s">
        <v>314</v>
      </c>
      <c r="D76" s="74">
        <v>14</v>
      </c>
      <c r="E76" s="74">
        <v>1</v>
      </c>
      <c r="F76" s="74">
        <v>1</v>
      </c>
      <c r="G76" s="74">
        <v>3</v>
      </c>
      <c r="H76" s="74"/>
      <c r="I76" s="74">
        <v>19</v>
      </c>
    </row>
    <row r="77" spans="3:9" ht="12.75">
      <c r="C77" s="73" t="s">
        <v>315</v>
      </c>
      <c r="D77" s="74">
        <v>10</v>
      </c>
      <c r="E77" s="74">
        <v>1</v>
      </c>
      <c r="F77" s="74"/>
      <c r="G77" s="74">
        <v>1</v>
      </c>
      <c r="H77" s="74"/>
      <c r="I77" s="74">
        <v>12</v>
      </c>
    </row>
    <row r="78" spans="3:9" ht="12.75">
      <c r="C78" s="73" t="s">
        <v>102</v>
      </c>
      <c r="D78" s="74">
        <v>6</v>
      </c>
      <c r="E78" s="74">
        <v>1</v>
      </c>
      <c r="F78" s="74">
        <v>1</v>
      </c>
      <c r="G78" s="74">
        <v>1</v>
      </c>
      <c r="H78" s="74"/>
      <c r="I78" s="74">
        <v>9</v>
      </c>
    </row>
    <row r="79" spans="3:9" ht="13.5" thickBot="1">
      <c r="C79" s="75" t="s">
        <v>103</v>
      </c>
      <c r="D79" s="76">
        <v>5</v>
      </c>
      <c r="E79" s="76"/>
      <c r="F79" s="76">
        <v>1</v>
      </c>
      <c r="G79" s="76"/>
      <c r="H79" s="76"/>
      <c r="I79" s="76">
        <v>6</v>
      </c>
    </row>
    <row r="80" spans="3:9" ht="13.5" thickBot="1">
      <c r="C80" s="77" t="s">
        <v>104</v>
      </c>
      <c r="D80" s="78">
        <v>1</v>
      </c>
      <c r="E80" s="78"/>
      <c r="F80" s="78"/>
      <c r="G80" s="78"/>
      <c r="H80" s="78"/>
      <c r="I80" s="78">
        <v>1</v>
      </c>
    </row>
    <row r="81" spans="3:9" ht="13.5" thickBot="1">
      <c r="C81" s="77" t="s">
        <v>105</v>
      </c>
      <c r="D81" s="78">
        <v>3</v>
      </c>
      <c r="E81" s="78"/>
      <c r="F81" s="78"/>
      <c r="G81" s="78">
        <v>1</v>
      </c>
      <c r="H81" s="78"/>
      <c r="I81" s="78">
        <v>4</v>
      </c>
    </row>
    <row r="82" spans="3:9" ht="12.75">
      <c r="C82" s="109" t="s">
        <v>486</v>
      </c>
      <c r="D82" s="296">
        <f aca="true" t="shared" si="0" ref="D82:I82">SUM(D70:D81)</f>
        <v>422</v>
      </c>
      <c r="E82" s="296">
        <f t="shared" si="0"/>
        <v>57</v>
      </c>
      <c r="F82" s="296">
        <f t="shared" si="0"/>
        <v>31</v>
      </c>
      <c r="G82" s="296">
        <f t="shared" si="0"/>
        <v>55</v>
      </c>
      <c r="H82" s="296">
        <f t="shared" si="0"/>
        <v>12</v>
      </c>
      <c r="I82" s="296">
        <f t="shared" si="0"/>
        <v>577</v>
      </c>
    </row>
    <row r="83" spans="3:9" ht="13.5" thickBot="1">
      <c r="C83" s="109" t="s">
        <v>392</v>
      </c>
      <c r="D83" s="296">
        <v>25</v>
      </c>
      <c r="E83" s="296">
        <v>4</v>
      </c>
      <c r="F83" s="296">
        <v>2</v>
      </c>
      <c r="G83" s="296">
        <v>4</v>
      </c>
      <c r="H83" s="296">
        <v>0</v>
      </c>
      <c r="I83" s="296">
        <f>SUM(D83:H83)</f>
        <v>35</v>
      </c>
    </row>
    <row r="84" spans="3:9" ht="13.5" thickBot="1">
      <c r="C84" s="77"/>
      <c r="D84" s="78"/>
      <c r="E84" s="78"/>
      <c r="F84" s="78"/>
      <c r="G84" s="78"/>
      <c r="H84" s="78"/>
      <c r="I84" s="78"/>
    </row>
    <row r="85" spans="3:9" ht="13.5" thickBot="1">
      <c r="C85" s="592" t="s">
        <v>393</v>
      </c>
      <c r="D85" s="593">
        <f aca="true" t="shared" si="1" ref="D85:I85">SUM(D82:D83)</f>
        <v>447</v>
      </c>
      <c r="E85" s="593">
        <f t="shared" si="1"/>
        <v>61</v>
      </c>
      <c r="F85" s="593">
        <f t="shared" si="1"/>
        <v>33</v>
      </c>
      <c r="G85" s="593">
        <f t="shared" si="1"/>
        <v>59</v>
      </c>
      <c r="H85" s="593">
        <f t="shared" si="1"/>
        <v>12</v>
      </c>
      <c r="I85" s="593">
        <f t="shared" si="1"/>
        <v>612</v>
      </c>
    </row>
    <row r="86" spans="3:9" ht="12.75">
      <c r="C86" s="81" t="s">
        <v>107</v>
      </c>
      <c r="D86" s="296"/>
      <c r="E86" s="296"/>
      <c r="F86" s="296"/>
      <c r="G86" s="296"/>
      <c r="H86" s="296"/>
      <c r="I86" s="296"/>
    </row>
    <row r="87" spans="3:9" ht="13.5" thickBot="1">
      <c r="C87" s="109"/>
      <c r="D87" s="296"/>
      <c r="E87" s="296"/>
      <c r="F87" s="296"/>
      <c r="G87" s="296"/>
      <c r="H87" s="296"/>
      <c r="I87" s="296"/>
    </row>
    <row r="88" spans="3:9" ht="13.5" thickBot="1">
      <c r="C88" s="79" t="s">
        <v>106</v>
      </c>
      <c r="D88" s="80">
        <v>286</v>
      </c>
      <c r="E88" s="80">
        <v>212</v>
      </c>
      <c r="F88" s="80">
        <v>224</v>
      </c>
      <c r="G88" s="80">
        <v>135</v>
      </c>
      <c r="H88" s="80">
        <v>41</v>
      </c>
      <c r="I88" s="80"/>
    </row>
    <row r="89" spans="3:10" ht="12.75">
      <c r="C89" s="270"/>
      <c r="D89" s="297"/>
      <c r="E89" s="297"/>
      <c r="F89" s="297"/>
      <c r="G89" s="297"/>
      <c r="H89" s="297"/>
      <c r="I89" s="297"/>
      <c r="J89" s="544"/>
    </row>
    <row r="92" spans="3:8" ht="12.75">
      <c r="C92" s="82"/>
      <c r="D92" s="82"/>
      <c r="E92" s="82"/>
      <c r="F92" s="82"/>
      <c r="G92" s="82"/>
      <c r="H92" s="82"/>
    </row>
    <row r="93" spans="3:8" ht="12.75">
      <c r="C93" s="82"/>
      <c r="D93" s="82"/>
      <c r="E93" s="82"/>
      <c r="F93" s="82"/>
      <c r="G93" s="82"/>
      <c r="H93" s="82"/>
    </row>
    <row r="94" spans="3:8" ht="15.75">
      <c r="C94" s="87" t="s">
        <v>108</v>
      </c>
      <c r="D94" s="90"/>
      <c r="E94" s="90"/>
      <c r="F94" s="90"/>
      <c r="G94" s="82"/>
      <c r="H94" s="82"/>
    </row>
    <row r="95" spans="7:8" ht="12.75">
      <c r="G95" s="82"/>
      <c r="H95" s="82"/>
    </row>
    <row r="96" spans="3:8" ht="13.5" customHeight="1" thickBot="1">
      <c r="C96" s="298" t="s">
        <v>109</v>
      </c>
      <c r="D96" s="298"/>
      <c r="E96" s="298"/>
      <c r="F96" s="298"/>
      <c r="G96" s="298"/>
      <c r="H96" s="82"/>
    </row>
    <row r="97" spans="3:8" ht="12.75">
      <c r="C97" s="299" t="s">
        <v>110</v>
      </c>
      <c r="D97" s="299"/>
      <c r="E97" s="300"/>
      <c r="F97" s="289" t="s">
        <v>118</v>
      </c>
      <c r="G97" s="289" t="s">
        <v>117</v>
      </c>
      <c r="H97" s="82"/>
    </row>
    <row r="98" spans="3:8" ht="12.75">
      <c r="C98" s="83" t="s">
        <v>112</v>
      </c>
      <c r="D98" s="88"/>
      <c r="E98" s="88"/>
      <c r="F98" s="84">
        <v>1</v>
      </c>
      <c r="G98" s="84">
        <v>5</v>
      </c>
      <c r="H98" s="82"/>
    </row>
    <row r="99" spans="3:8" ht="12.75">
      <c r="C99" s="83" t="s">
        <v>316</v>
      </c>
      <c r="D99" s="88"/>
      <c r="E99" s="88"/>
      <c r="F99" s="84">
        <v>1</v>
      </c>
      <c r="G99" s="84">
        <v>26</v>
      </c>
      <c r="H99" s="82"/>
    </row>
    <row r="100" spans="3:8" ht="12.75">
      <c r="C100" s="83" t="s">
        <v>42</v>
      </c>
      <c r="D100" s="88"/>
      <c r="E100" s="88"/>
      <c r="F100" s="84">
        <v>1</v>
      </c>
      <c r="G100" s="84">
        <v>26</v>
      </c>
      <c r="H100" s="82"/>
    </row>
    <row r="101" spans="3:8" ht="13.5" thickBot="1">
      <c r="C101" s="85" t="s">
        <v>113</v>
      </c>
      <c r="D101" s="85"/>
      <c r="E101" s="89"/>
      <c r="F101" s="86"/>
      <c r="G101" s="86">
        <v>7</v>
      </c>
      <c r="H101" s="82"/>
    </row>
    <row r="102" spans="3:8" ht="12.75">
      <c r="C102" s="299" t="s">
        <v>317</v>
      </c>
      <c r="D102" s="299"/>
      <c r="E102" s="299"/>
      <c r="F102" s="301">
        <v>3</v>
      </c>
      <c r="G102" s="301">
        <v>64</v>
      </c>
      <c r="H102" s="82"/>
    </row>
    <row r="103" ht="13.5" thickBot="1">
      <c r="H103" s="82"/>
    </row>
    <row r="104" spans="3:8" ht="13.5" thickBot="1">
      <c r="C104" s="302" t="s">
        <v>318</v>
      </c>
      <c r="D104" s="302"/>
      <c r="E104" s="302"/>
      <c r="F104" s="302"/>
      <c r="G104" s="302"/>
      <c r="H104" s="82"/>
    </row>
    <row r="105" spans="3:8" ht="12.75">
      <c r="C105" s="299" t="s">
        <v>114</v>
      </c>
      <c r="D105" s="289" t="s">
        <v>319</v>
      </c>
      <c r="E105" s="289" t="s">
        <v>101</v>
      </c>
      <c r="F105" s="289" t="s">
        <v>118</v>
      </c>
      <c r="G105" s="289" t="s">
        <v>117</v>
      </c>
      <c r="H105" s="82"/>
    </row>
    <row r="106" spans="3:8" ht="12.75">
      <c r="C106" s="83" t="s">
        <v>53</v>
      </c>
      <c r="D106" s="84">
        <v>11</v>
      </c>
      <c r="E106" s="84">
        <v>11</v>
      </c>
      <c r="F106" s="84">
        <v>22</v>
      </c>
      <c r="G106" s="84">
        <v>89</v>
      </c>
      <c r="H106" s="82"/>
    </row>
    <row r="107" spans="3:8" ht="12.75">
      <c r="C107" s="83" t="s">
        <v>71</v>
      </c>
      <c r="D107" s="84">
        <v>2</v>
      </c>
      <c r="E107" s="84">
        <v>2</v>
      </c>
      <c r="F107" s="84">
        <v>4</v>
      </c>
      <c r="G107" s="84">
        <v>15</v>
      </c>
      <c r="H107" s="82"/>
    </row>
    <row r="108" spans="3:8" ht="12.75">
      <c r="C108" s="83" t="s">
        <v>80</v>
      </c>
      <c r="D108" s="84">
        <v>1</v>
      </c>
      <c r="E108" s="594">
        <v>1</v>
      </c>
      <c r="F108" s="84">
        <v>2</v>
      </c>
      <c r="G108" s="84">
        <v>7</v>
      </c>
      <c r="H108" s="82"/>
    </row>
    <row r="109" spans="3:8" ht="13.5" thickBot="1">
      <c r="C109" s="85" t="s">
        <v>87</v>
      </c>
      <c r="D109" s="86">
        <v>2</v>
      </c>
      <c r="E109" s="86">
        <v>2</v>
      </c>
      <c r="F109" s="86">
        <v>4</v>
      </c>
      <c r="G109" s="86">
        <v>13</v>
      </c>
      <c r="H109" s="82"/>
    </row>
    <row r="110" spans="3:8" ht="13.5" thickBot="1">
      <c r="C110" s="299" t="s">
        <v>487</v>
      </c>
      <c r="D110" s="301">
        <v>16</v>
      </c>
      <c r="E110" s="301">
        <f>SUM(E106:E109)</f>
        <v>16</v>
      </c>
      <c r="F110" s="301">
        <v>32</v>
      </c>
      <c r="G110" s="301">
        <v>124</v>
      </c>
      <c r="H110" s="82"/>
    </row>
    <row r="111" spans="3:7" ht="12.75">
      <c r="C111" s="303" t="s">
        <v>12</v>
      </c>
      <c r="D111" s="304">
        <f>D110</f>
        <v>16</v>
      </c>
      <c r="E111" s="304">
        <f>E110</f>
        <v>16</v>
      </c>
      <c r="F111" s="304">
        <f>F110+F102</f>
        <v>35</v>
      </c>
      <c r="G111" s="304">
        <f>G102+G110</f>
        <v>188</v>
      </c>
    </row>
  </sheetData>
  <mergeCells count="2">
    <mergeCell ref="C3:I3"/>
    <mergeCell ref="C4:I4"/>
  </mergeCells>
  <conditionalFormatting sqref="D8:D62">
    <cfRule type="cellIs" priority="1" dxfId="0" operator="between" stopIfTrue="1">
      <formula>7000</formula>
      <formula>7300</formula>
    </cfRule>
  </conditionalFormatting>
  <hyperlinks>
    <hyperlink ref="B5" r:id="rId1" display="Llista de municipis que formen part de cada partit judicial"/>
  </hyperlinks>
  <printOptions/>
  <pageMargins left="0.55" right="0.75" top="0.27" bottom="0.33" header="0" footer="0"/>
  <pageSetup horizontalDpi="300" verticalDpi="300" orientation="landscape" paperSize="9" scale="90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workbookViewId="0" topLeftCell="A1">
      <selection activeCell="B1" sqref="B1"/>
    </sheetView>
  </sheetViews>
  <sheetFormatPr defaultColWidth="9.140625" defaultRowHeight="12.75"/>
  <cols>
    <col min="2" max="2" width="60.140625" style="0" customWidth="1"/>
    <col min="3" max="11" width="10.7109375" style="0" customWidth="1"/>
  </cols>
  <sheetData>
    <row r="1" spans="2:11" ht="18">
      <c r="B1" s="70" t="s">
        <v>135</v>
      </c>
      <c r="C1" s="70"/>
      <c r="D1" s="70"/>
      <c r="E1" s="70"/>
      <c r="F1" s="70"/>
      <c r="G1" s="70"/>
      <c r="H1" s="70"/>
      <c r="I1" s="70"/>
      <c r="J1" s="70"/>
      <c r="K1" s="70"/>
    </row>
    <row r="2" spans="2:3" ht="14.25">
      <c r="B2" s="91"/>
      <c r="C2" s="91"/>
    </row>
    <row r="3" spans="2:3" ht="15.75" thickBot="1">
      <c r="B3" s="315" t="s">
        <v>321</v>
      </c>
      <c r="C3" s="316" t="s">
        <v>322</v>
      </c>
    </row>
    <row r="4" spans="2:3" ht="14.25">
      <c r="B4" s="92" t="s">
        <v>116</v>
      </c>
      <c r="C4" s="93">
        <v>197140</v>
      </c>
    </row>
    <row r="5" spans="2:3" ht="14.25">
      <c r="B5" s="94" t="s">
        <v>124</v>
      </c>
      <c r="C5" s="95">
        <v>347770</v>
      </c>
    </row>
    <row r="6" spans="2:3" ht="14.25">
      <c r="B6" s="96" t="s">
        <v>71</v>
      </c>
      <c r="C6" s="95">
        <v>81880</v>
      </c>
    </row>
    <row r="7" spans="2:3" ht="14.25">
      <c r="B7" s="96" t="s">
        <v>80</v>
      </c>
      <c r="C7" s="95">
        <v>15819</v>
      </c>
    </row>
    <row r="8" spans="2:3" ht="15" thickBot="1">
      <c r="B8" s="97" t="s">
        <v>87</v>
      </c>
      <c r="C8" s="98">
        <v>35118</v>
      </c>
    </row>
    <row r="9" spans="2:3" ht="15">
      <c r="B9" s="317" t="s">
        <v>12</v>
      </c>
      <c r="C9" s="102">
        <f>SUM(C4:C8)</f>
        <v>677727</v>
      </c>
    </row>
    <row r="37" spans="2:11" ht="18">
      <c r="B37" s="70" t="s">
        <v>136</v>
      </c>
      <c r="C37" s="70"/>
      <c r="D37" s="70"/>
      <c r="E37" s="70"/>
      <c r="F37" s="70"/>
      <c r="G37" s="70"/>
      <c r="H37" s="70"/>
      <c r="I37" s="70"/>
      <c r="J37" s="70"/>
      <c r="K37" s="70"/>
    </row>
    <row r="39" ht="12.75">
      <c r="A39" s="103"/>
    </row>
    <row r="40" spans="1:3" ht="13.5" thickBot="1">
      <c r="A40" s="103"/>
      <c r="B40" s="306"/>
      <c r="C40" s="307" t="s">
        <v>323</v>
      </c>
    </row>
    <row r="41" spans="1:3" ht="12.75">
      <c r="A41" s="103"/>
      <c r="B41" s="308" t="s">
        <v>131</v>
      </c>
      <c r="C41" s="309">
        <v>291939</v>
      </c>
    </row>
    <row r="42" spans="1:3" ht="12.75">
      <c r="A42" s="103"/>
      <c r="B42" s="310" t="s">
        <v>125</v>
      </c>
      <c r="C42" s="311">
        <v>136558</v>
      </c>
    </row>
    <row r="43" spans="1:3" ht="12.75">
      <c r="A43" s="103"/>
      <c r="B43" s="310" t="s">
        <v>132</v>
      </c>
      <c r="C43" s="311">
        <v>72485</v>
      </c>
    </row>
    <row r="44" spans="1:3" ht="12.75">
      <c r="A44" s="103"/>
      <c r="B44" s="310" t="s">
        <v>127</v>
      </c>
      <c r="C44" s="311">
        <v>53760</v>
      </c>
    </row>
    <row r="45" spans="1:3" ht="12.75">
      <c r="A45" s="103"/>
      <c r="B45" s="310" t="s">
        <v>134</v>
      </c>
      <c r="C45" s="311">
        <v>50800</v>
      </c>
    </row>
    <row r="46" spans="1:3" ht="12.75">
      <c r="A46" s="103"/>
      <c r="B46" s="310" t="s">
        <v>126</v>
      </c>
      <c r="C46" s="311">
        <v>36599</v>
      </c>
    </row>
    <row r="47" spans="1:3" ht="12.75">
      <c r="A47" s="103"/>
      <c r="B47" s="310" t="s">
        <v>133</v>
      </c>
      <c r="C47" s="311">
        <v>33808</v>
      </c>
    </row>
    <row r="48" spans="2:3" ht="13.5" thickBot="1">
      <c r="B48" s="312" t="s">
        <v>128</v>
      </c>
      <c r="C48" s="313">
        <v>1778</v>
      </c>
    </row>
    <row r="49" spans="2:3" ht="12.75">
      <c r="B49" s="314" t="s">
        <v>12</v>
      </c>
      <c r="C49" s="305">
        <f>SUM(C41:C48)</f>
        <v>677727</v>
      </c>
    </row>
    <row r="75" spans="2:11" ht="12.75" customHeight="1">
      <c r="B75" s="606" t="s">
        <v>320</v>
      </c>
      <c r="C75" s="606"/>
      <c r="D75" s="606"/>
      <c r="E75" s="606"/>
      <c r="F75" s="606"/>
      <c r="G75" s="107"/>
      <c r="H75" s="107"/>
      <c r="I75" s="107"/>
      <c r="J75" s="107"/>
      <c r="K75" s="107"/>
    </row>
    <row r="76" spans="2:11" ht="12.75">
      <c r="B76" s="606"/>
      <c r="C76" s="606"/>
      <c r="D76" s="606"/>
      <c r="E76" s="606"/>
      <c r="F76" s="606"/>
      <c r="G76" s="107"/>
      <c r="H76" s="107"/>
      <c r="I76" s="107"/>
      <c r="J76" s="107"/>
      <c r="K76" s="107"/>
    </row>
    <row r="77" spans="2:11" ht="12.75">
      <c r="B77" s="107"/>
      <c r="C77" s="107"/>
      <c r="D77" s="107"/>
      <c r="E77" s="107"/>
      <c r="F77" s="107"/>
      <c r="G77" s="107"/>
      <c r="H77" s="107"/>
      <c r="I77" s="107"/>
      <c r="J77" s="107"/>
      <c r="K77" s="107"/>
    </row>
  </sheetData>
  <mergeCells count="1">
    <mergeCell ref="B75:F76"/>
  </mergeCells>
  <printOptions/>
  <pageMargins left="0.75" right="0.75" top="1" bottom="1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176"/>
  <sheetViews>
    <sheetView zoomScaleSheetLayoutView="75" workbookViewId="0" topLeftCell="A1">
      <selection activeCell="A172" sqref="A172"/>
    </sheetView>
  </sheetViews>
  <sheetFormatPr defaultColWidth="9.140625" defaultRowHeight="12.75"/>
  <cols>
    <col min="1" max="1" width="37.57421875" style="550" customWidth="1"/>
    <col min="2" max="2" width="12.7109375" style="550" customWidth="1"/>
    <col min="3" max="3" width="15.28125" style="550" customWidth="1"/>
    <col min="4" max="4" width="14.00390625" style="550" customWidth="1"/>
    <col min="5" max="5" width="12.421875" style="550" customWidth="1"/>
    <col min="6" max="6" width="12.28125" style="550" customWidth="1"/>
    <col min="7" max="7" width="14.8515625" style="550" customWidth="1"/>
    <col min="8" max="8" width="11.421875" style="551" bestFit="1" customWidth="1"/>
    <col min="9" max="9" width="6.8515625" style="550" bestFit="1" customWidth="1"/>
    <col min="10" max="16384" width="14.8515625" style="550" customWidth="1"/>
  </cols>
  <sheetData>
    <row r="1" ht="18">
      <c r="A1" s="595" t="s">
        <v>488</v>
      </c>
    </row>
    <row r="2" spans="2:7" ht="15">
      <c r="B2" s="552"/>
      <c r="C2" s="552"/>
      <c r="D2" s="552"/>
      <c r="E2" s="552"/>
      <c r="F2" s="552"/>
      <c r="G2" s="552"/>
    </row>
    <row r="3" spans="2:7" ht="15">
      <c r="B3" s="552"/>
      <c r="C3" s="552"/>
      <c r="D3" s="552"/>
      <c r="E3" s="552"/>
      <c r="F3" s="552"/>
      <c r="G3" s="550" t="s">
        <v>397</v>
      </c>
    </row>
    <row r="4" spans="1:6" ht="15.75">
      <c r="A4" s="549" t="s">
        <v>489</v>
      </c>
      <c r="B4" s="552"/>
      <c r="C4" s="552"/>
      <c r="D4" s="552"/>
      <c r="E4" s="552"/>
      <c r="F4" s="553"/>
    </row>
    <row r="5" spans="1:6" ht="15.75">
      <c r="A5" s="549"/>
      <c r="B5" s="552"/>
      <c r="C5" s="552"/>
      <c r="D5" s="552"/>
      <c r="E5" s="552"/>
      <c r="F5" s="553"/>
    </row>
    <row r="6" spans="1:6" ht="15">
      <c r="A6" s="554" t="s">
        <v>398</v>
      </c>
      <c r="B6" s="552"/>
      <c r="C6" s="552"/>
      <c r="D6" s="552"/>
      <c r="E6" s="552"/>
      <c r="F6" s="553"/>
    </row>
    <row r="7" spans="1:6" ht="15">
      <c r="A7" s="554" t="s">
        <v>490</v>
      </c>
      <c r="B7" s="552"/>
      <c r="C7" s="552"/>
      <c r="D7" s="552"/>
      <c r="E7" s="552"/>
      <c r="F7" s="553"/>
    </row>
    <row r="8" spans="1:6" ht="15">
      <c r="A8" s="554" t="s">
        <v>491</v>
      </c>
      <c r="B8" s="552"/>
      <c r="C8" s="552"/>
      <c r="D8" s="552"/>
      <c r="E8" s="552"/>
      <c r="F8" s="553"/>
    </row>
    <row r="9" spans="1:6" ht="15">
      <c r="A9" s="554" t="s">
        <v>492</v>
      </c>
      <c r="B9" s="552"/>
      <c r="C9" s="552"/>
      <c r="D9" s="552"/>
      <c r="E9" s="552"/>
      <c r="F9" s="553"/>
    </row>
    <row r="10" spans="1:6" ht="15.75">
      <c r="A10" s="549"/>
      <c r="B10" s="552"/>
      <c r="C10" s="552"/>
      <c r="D10" s="552"/>
      <c r="E10" s="552"/>
      <c r="F10" s="553"/>
    </row>
    <row r="11" spans="2:6" ht="15">
      <c r="B11" s="552"/>
      <c r="C11" s="552"/>
      <c r="D11" s="552"/>
      <c r="E11" s="552"/>
      <c r="F11" s="553"/>
    </row>
    <row r="12" spans="1:6" ht="15.75">
      <c r="A12" s="555" t="s">
        <v>498</v>
      </c>
      <c r="B12" s="552"/>
      <c r="C12" s="552"/>
      <c r="D12" s="552"/>
      <c r="E12" s="552"/>
      <c r="F12" s="553"/>
    </row>
    <row r="13" spans="1:6" ht="15.75">
      <c r="A13" s="549"/>
      <c r="B13" s="552"/>
      <c r="C13" s="552"/>
      <c r="D13" s="552"/>
      <c r="E13" s="552"/>
      <c r="F13" s="553"/>
    </row>
    <row r="14" spans="1:8" ht="15">
      <c r="A14" s="556" t="s">
        <v>399</v>
      </c>
      <c r="B14" s="557" t="s">
        <v>53</v>
      </c>
      <c r="C14" s="557" t="s">
        <v>71</v>
      </c>
      <c r="D14" s="557" t="s">
        <v>80</v>
      </c>
      <c r="E14" s="557" t="s">
        <v>87</v>
      </c>
      <c r="F14" s="557" t="s">
        <v>330</v>
      </c>
      <c r="G14" s="558" t="s">
        <v>400</v>
      </c>
      <c r="H14" s="559" t="s">
        <v>207</v>
      </c>
    </row>
    <row r="15" spans="1:9" ht="15">
      <c r="A15" s="560" t="s">
        <v>401</v>
      </c>
      <c r="B15" s="561">
        <f>SUM(B63)</f>
        <v>540</v>
      </c>
      <c r="C15" s="561">
        <f>SUM(B77)</f>
        <v>51</v>
      </c>
      <c r="D15" s="561">
        <f>SUM(B89)</f>
        <v>28</v>
      </c>
      <c r="E15" s="561">
        <f>SUM(B99)</f>
        <v>64</v>
      </c>
      <c r="F15" s="561">
        <f>B107</f>
        <v>2</v>
      </c>
      <c r="G15" s="562">
        <f aca="true" t="shared" si="0" ref="G15:G28">SUM(B15:F15)</f>
        <v>685</v>
      </c>
      <c r="H15" s="607">
        <f>SUM(G15:G16)</f>
        <v>765</v>
      </c>
      <c r="I15" s="563"/>
    </row>
    <row r="16" spans="1:9" ht="15">
      <c r="A16" s="560" t="s">
        <v>402</v>
      </c>
      <c r="B16" s="561">
        <f>SUM(C63)</f>
        <v>35</v>
      </c>
      <c r="C16" s="561">
        <f>SUM(C77)</f>
        <v>21</v>
      </c>
      <c r="D16" s="561">
        <f>SUM(C89)</f>
        <v>10</v>
      </c>
      <c r="E16" s="561">
        <f>SUM(C99)</f>
        <v>4</v>
      </c>
      <c r="F16" s="561">
        <f>C107</f>
        <v>10</v>
      </c>
      <c r="G16" s="562">
        <f t="shared" si="0"/>
        <v>80</v>
      </c>
      <c r="H16" s="607"/>
      <c r="I16" s="563"/>
    </row>
    <row r="17" spans="1:9" ht="15">
      <c r="A17" s="560" t="s">
        <v>497</v>
      </c>
      <c r="B17" s="561">
        <f aca="true" t="shared" si="1" ref="B17:F21">B131</f>
        <v>1</v>
      </c>
      <c r="C17" s="561">
        <f t="shared" si="1"/>
        <v>0</v>
      </c>
      <c r="D17" s="561">
        <f t="shared" si="1"/>
        <v>0</v>
      </c>
      <c r="E17" s="561">
        <f t="shared" si="1"/>
        <v>0</v>
      </c>
      <c r="F17" s="561">
        <f t="shared" si="1"/>
        <v>0</v>
      </c>
      <c r="G17" s="562">
        <f t="shared" si="0"/>
        <v>1</v>
      </c>
      <c r="H17" s="608">
        <f>SUM(G17:G22)</f>
        <v>375</v>
      </c>
      <c r="I17" s="563"/>
    </row>
    <row r="18" spans="1:9" ht="15">
      <c r="A18" s="560" t="s">
        <v>496</v>
      </c>
      <c r="B18" s="561">
        <f t="shared" si="1"/>
        <v>1</v>
      </c>
      <c r="C18" s="561">
        <f t="shared" si="1"/>
        <v>1</v>
      </c>
      <c r="D18" s="561">
        <f t="shared" si="1"/>
        <v>1</v>
      </c>
      <c r="E18" s="561">
        <f t="shared" si="1"/>
        <v>1</v>
      </c>
      <c r="F18" s="561">
        <f t="shared" si="1"/>
        <v>0</v>
      </c>
      <c r="G18" s="562">
        <f t="shared" si="0"/>
        <v>4</v>
      </c>
      <c r="H18" s="608"/>
      <c r="I18" s="563"/>
    </row>
    <row r="19" spans="1:9" ht="15">
      <c r="A19" s="560" t="s">
        <v>478</v>
      </c>
      <c r="B19" s="561">
        <f t="shared" si="1"/>
        <v>2</v>
      </c>
      <c r="C19" s="561">
        <f t="shared" si="1"/>
        <v>1</v>
      </c>
      <c r="D19" s="561">
        <f t="shared" si="1"/>
        <v>1</v>
      </c>
      <c r="E19" s="561">
        <f t="shared" si="1"/>
        <v>1</v>
      </c>
      <c r="F19" s="561">
        <f t="shared" si="1"/>
        <v>0</v>
      </c>
      <c r="G19" s="562">
        <f t="shared" si="0"/>
        <v>5</v>
      </c>
      <c r="H19" s="608"/>
      <c r="I19" s="563"/>
    </row>
    <row r="20" spans="1:9" ht="15">
      <c r="A20" s="560" t="s">
        <v>495</v>
      </c>
      <c r="B20" s="561">
        <f t="shared" si="1"/>
        <v>6</v>
      </c>
      <c r="C20" s="561">
        <f t="shared" si="1"/>
        <v>0</v>
      </c>
      <c r="D20" s="561">
        <f t="shared" si="1"/>
        <v>0</v>
      </c>
      <c r="E20" s="561">
        <f t="shared" si="1"/>
        <v>0</v>
      </c>
      <c r="F20" s="561">
        <f t="shared" si="1"/>
        <v>0</v>
      </c>
      <c r="G20" s="562">
        <f t="shared" si="0"/>
        <v>6</v>
      </c>
      <c r="H20" s="608"/>
      <c r="I20" s="563"/>
    </row>
    <row r="21" spans="1:9" ht="15">
      <c r="A21" s="560" t="s">
        <v>403</v>
      </c>
      <c r="B21" s="561">
        <f t="shared" si="1"/>
        <v>201</v>
      </c>
      <c r="C21" s="561">
        <f t="shared" si="1"/>
        <v>29</v>
      </c>
      <c r="D21" s="561">
        <f t="shared" si="1"/>
        <v>10</v>
      </c>
      <c r="E21" s="561">
        <f t="shared" si="1"/>
        <v>27</v>
      </c>
      <c r="F21" s="561">
        <f t="shared" si="1"/>
        <v>6</v>
      </c>
      <c r="G21" s="562">
        <f t="shared" si="0"/>
        <v>273</v>
      </c>
      <c r="H21" s="608"/>
      <c r="I21" s="563"/>
    </row>
    <row r="22" spans="1:9" ht="15">
      <c r="A22" s="560" t="s">
        <v>404</v>
      </c>
      <c r="B22" s="561">
        <f>SUM(B136)</f>
        <v>56</v>
      </c>
      <c r="C22" s="561">
        <f>SUM(C136)</f>
        <v>13</v>
      </c>
      <c r="D22" s="561">
        <v>6</v>
      </c>
      <c r="E22" s="561">
        <f>SUM(E136)</f>
        <v>9</v>
      </c>
      <c r="F22" s="561">
        <f>SUM(F136)</f>
        <v>2</v>
      </c>
      <c r="G22" s="562">
        <f t="shared" si="0"/>
        <v>86</v>
      </c>
      <c r="H22" s="608"/>
      <c r="I22" s="563"/>
    </row>
    <row r="23" spans="1:9" ht="15">
      <c r="A23" s="560" t="s">
        <v>405</v>
      </c>
      <c r="B23" s="561">
        <f>SUM(D63)</f>
        <v>462</v>
      </c>
      <c r="C23" s="561">
        <f>D77</f>
        <v>62</v>
      </c>
      <c r="D23" s="561">
        <f>SUM(D89)</f>
        <v>35</v>
      </c>
      <c r="E23" s="561">
        <f>SUM(D99)</f>
        <v>60</v>
      </c>
      <c r="F23" s="561">
        <f>SUM(D107)</f>
        <v>12</v>
      </c>
      <c r="G23" s="562">
        <f t="shared" si="0"/>
        <v>631</v>
      </c>
      <c r="H23" s="559">
        <v>631</v>
      </c>
      <c r="I23" s="563"/>
    </row>
    <row r="24" spans="1:9" ht="15">
      <c r="A24" s="560" t="s">
        <v>406</v>
      </c>
      <c r="B24" s="561">
        <f>SUM(B169+B161)</f>
        <v>87</v>
      </c>
      <c r="C24" s="561">
        <f>SUM(C169+C161)</f>
        <v>31</v>
      </c>
      <c r="D24" s="561">
        <f>SUM(D169+D161)</f>
        <v>13</v>
      </c>
      <c r="E24" s="561">
        <f>SUM(E169+E161)</f>
        <v>14</v>
      </c>
      <c r="F24" s="561">
        <f>SUM(F161+F169)</f>
        <v>7</v>
      </c>
      <c r="G24" s="562">
        <f t="shared" si="0"/>
        <v>152</v>
      </c>
      <c r="H24" s="609">
        <f>SUM(G24:G25)</f>
        <v>2242</v>
      </c>
      <c r="I24" s="607">
        <f>SUM(H24:H28)</f>
        <v>7276</v>
      </c>
    </row>
    <row r="25" spans="1:9" ht="15">
      <c r="A25" s="560" t="s">
        <v>143</v>
      </c>
      <c r="B25" s="561">
        <f>(E114+B137+B162+B170)</f>
        <v>1591</v>
      </c>
      <c r="C25" s="561">
        <f>E115+C137+C162+C170</f>
        <v>189</v>
      </c>
      <c r="D25" s="561">
        <f>E116+D137+D162+D170</f>
        <v>103</v>
      </c>
      <c r="E25" s="561">
        <f>E117+E137+E162+E170</f>
        <v>166</v>
      </c>
      <c r="F25" s="561">
        <f>E118+F137+F162+F170</f>
        <v>41</v>
      </c>
      <c r="G25" s="562">
        <f t="shared" si="0"/>
        <v>2090</v>
      </c>
      <c r="H25" s="610"/>
      <c r="I25" s="607"/>
    </row>
    <row r="26" spans="1:9" ht="15">
      <c r="A26" s="560" t="s">
        <v>494</v>
      </c>
      <c r="B26" s="561">
        <f>F114+B138+B163+B174</f>
        <v>2496</v>
      </c>
      <c r="C26" s="561">
        <f>F115+C138+C163+C171</f>
        <v>325</v>
      </c>
      <c r="D26" s="561">
        <f>F116+D138+D163+D171</f>
        <v>144</v>
      </c>
      <c r="E26" s="561">
        <f>F117+E138+E163+E171</f>
        <v>297</v>
      </c>
      <c r="F26" s="561">
        <f>F118+F138+F163+F171</f>
        <v>56</v>
      </c>
      <c r="G26" s="562">
        <f t="shared" si="0"/>
        <v>3318</v>
      </c>
      <c r="H26" s="564">
        <f>G26</f>
        <v>3318</v>
      </c>
      <c r="I26" s="607"/>
    </row>
    <row r="27" spans="1:9" ht="15">
      <c r="A27" s="560" t="s">
        <v>493</v>
      </c>
      <c r="B27" s="561">
        <f>G114+B139+B164+B172</f>
        <v>1082</v>
      </c>
      <c r="C27" s="561">
        <f>G115+C139+C164+C172</f>
        <v>167</v>
      </c>
      <c r="D27" s="561">
        <f>G116+D139+D164+D172</f>
        <v>80</v>
      </c>
      <c r="E27" s="561">
        <f>G117+E139+E164+E172</f>
        <v>141</v>
      </c>
      <c r="F27" s="561">
        <f>G118+F139+F164+F172</f>
        <v>33</v>
      </c>
      <c r="G27" s="562">
        <f t="shared" si="0"/>
        <v>1503</v>
      </c>
      <c r="H27" s="564">
        <f>G27</f>
        <v>1503</v>
      </c>
      <c r="I27" s="607"/>
    </row>
    <row r="28" spans="1:9" ht="15">
      <c r="A28" s="560" t="s">
        <v>407</v>
      </c>
      <c r="B28" s="561">
        <f>SUM(H114)</f>
        <v>134</v>
      </c>
      <c r="C28" s="561">
        <f>SUM(H115)</f>
        <v>28</v>
      </c>
      <c r="D28" s="561">
        <f>SUM(H116)</f>
        <v>17</v>
      </c>
      <c r="E28" s="561">
        <f>H117</f>
        <v>25</v>
      </c>
      <c r="F28" s="561">
        <f>SUM(H118)</f>
        <v>9</v>
      </c>
      <c r="G28" s="562">
        <f t="shared" si="0"/>
        <v>213</v>
      </c>
      <c r="H28" s="564">
        <f>G28</f>
        <v>213</v>
      </c>
      <c r="I28" s="607"/>
    </row>
    <row r="29" spans="1:9" ht="15.75">
      <c r="A29" s="556" t="s">
        <v>408</v>
      </c>
      <c r="B29" s="557">
        <f aca="true" t="shared" si="2" ref="B29:G29">SUM(B15:B28)</f>
        <v>6694</v>
      </c>
      <c r="C29" s="557">
        <f t="shared" si="2"/>
        <v>918</v>
      </c>
      <c r="D29" s="557">
        <f t="shared" si="2"/>
        <v>448</v>
      </c>
      <c r="E29" s="557">
        <f t="shared" si="2"/>
        <v>809</v>
      </c>
      <c r="F29" s="557">
        <f t="shared" si="2"/>
        <v>178</v>
      </c>
      <c r="G29" s="565">
        <f t="shared" si="2"/>
        <v>9047</v>
      </c>
      <c r="H29" s="559">
        <f>SUM(H15:H28)</f>
        <v>9047</v>
      </c>
      <c r="I29" s="563"/>
    </row>
    <row r="30" spans="2:7" ht="15">
      <c r="B30" s="552"/>
      <c r="C30" s="552"/>
      <c r="D30" s="552"/>
      <c r="E30" s="552"/>
      <c r="F30" s="566"/>
      <c r="G30" s="552"/>
    </row>
    <row r="31" spans="2:7" ht="15">
      <c r="B31" s="552"/>
      <c r="C31" s="552"/>
      <c r="D31" s="552"/>
      <c r="E31" s="552"/>
      <c r="G31" s="552"/>
    </row>
    <row r="32" spans="2:7" ht="15">
      <c r="B32" s="552"/>
      <c r="C32" s="552"/>
      <c r="D32" s="552"/>
      <c r="E32" s="552"/>
      <c r="F32" s="552"/>
      <c r="G32" s="552"/>
    </row>
    <row r="33" spans="1:7" ht="15.75">
      <c r="A33" s="555" t="s">
        <v>490</v>
      </c>
      <c r="B33" s="552"/>
      <c r="C33" s="552"/>
      <c r="D33" s="552"/>
      <c r="E33" s="552"/>
      <c r="F33" s="552"/>
      <c r="G33" s="552"/>
    </row>
    <row r="34" spans="2:7" ht="15">
      <c r="B34" s="552"/>
      <c r="C34" s="552"/>
      <c r="D34" s="552"/>
      <c r="E34" s="552"/>
      <c r="F34" s="552"/>
      <c r="G34" s="552"/>
    </row>
    <row r="35" spans="1:7" ht="15">
      <c r="A35" s="567" t="s">
        <v>409</v>
      </c>
      <c r="B35" s="552"/>
      <c r="C35" s="552"/>
      <c r="D35" s="552"/>
      <c r="E35" s="552"/>
      <c r="F35" s="552"/>
      <c r="G35" s="552"/>
    </row>
    <row r="36" spans="2:7" ht="15">
      <c r="B36" s="552"/>
      <c r="C36" s="552"/>
      <c r="D36" s="552"/>
      <c r="E36" s="552"/>
      <c r="F36" s="552"/>
      <c r="G36" s="552"/>
    </row>
    <row r="37" spans="1:9" ht="15">
      <c r="A37" s="556" t="s">
        <v>303</v>
      </c>
      <c r="B37" s="557" t="s">
        <v>411</v>
      </c>
      <c r="C37" s="557" t="s">
        <v>412</v>
      </c>
      <c r="D37" s="557" t="s">
        <v>413</v>
      </c>
      <c r="E37" s="557" t="s">
        <v>414</v>
      </c>
      <c r="F37" s="557" t="s">
        <v>415</v>
      </c>
      <c r="G37" s="557" t="s">
        <v>416</v>
      </c>
      <c r="H37" s="557" t="s">
        <v>417</v>
      </c>
      <c r="I37" s="557" t="s">
        <v>118</v>
      </c>
    </row>
    <row r="38" spans="1:9" ht="15">
      <c r="A38" s="560" t="s">
        <v>418</v>
      </c>
      <c r="B38" s="561">
        <f>8+1</f>
        <v>9</v>
      </c>
      <c r="C38" s="561"/>
      <c r="D38" s="561">
        <f>8+1</f>
        <v>9</v>
      </c>
      <c r="E38" s="561">
        <f>24+3</f>
        <v>27</v>
      </c>
      <c r="F38" s="561">
        <f>42+5</f>
        <v>47</v>
      </c>
      <c r="G38" s="561">
        <f>16+2</f>
        <v>18</v>
      </c>
      <c r="H38" s="561">
        <v>3</v>
      </c>
      <c r="I38" s="561">
        <f aca="true" t="shared" si="3" ref="I38:I63">SUM(B38:H38)</f>
        <v>113</v>
      </c>
    </row>
    <row r="39" spans="1:9" ht="15">
      <c r="A39" s="560" t="s">
        <v>419</v>
      </c>
      <c r="B39" s="561">
        <f>12+1</f>
        <v>13</v>
      </c>
      <c r="C39" s="561"/>
      <c r="D39" s="561">
        <f>12+1</f>
        <v>13</v>
      </c>
      <c r="E39" s="561">
        <f>38+3</f>
        <v>41</v>
      </c>
      <c r="F39" s="561">
        <v>73</v>
      </c>
      <c r="G39" s="561">
        <f>25+2</f>
        <v>27</v>
      </c>
      <c r="H39" s="561">
        <v>5</v>
      </c>
      <c r="I39" s="561">
        <f t="shared" si="3"/>
        <v>172</v>
      </c>
    </row>
    <row r="40" spans="1:9" ht="15">
      <c r="A40" s="560" t="s">
        <v>53</v>
      </c>
      <c r="B40" s="561">
        <f>330+3+2+1+1+7+8</f>
        <v>352</v>
      </c>
      <c r="C40" s="561"/>
      <c r="D40" s="561">
        <f>236+3</f>
        <v>239</v>
      </c>
      <c r="E40" s="561">
        <v>835</v>
      </c>
      <c r="F40" s="561">
        <f>1236+1</f>
        <v>1237</v>
      </c>
      <c r="G40" s="561">
        <v>502</v>
      </c>
      <c r="H40" s="561">
        <v>50</v>
      </c>
      <c r="I40" s="561">
        <f t="shared" si="3"/>
        <v>3215</v>
      </c>
    </row>
    <row r="41" spans="1:9" ht="15">
      <c r="A41" s="560" t="s">
        <v>420</v>
      </c>
      <c r="B41" s="561"/>
      <c r="C41" s="561">
        <v>2</v>
      </c>
      <c r="D41" s="561">
        <v>2</v>
      </c>
      <c r="E41" s="561">
        <v>6</v>
      </c>
      <c r="F41" s="561">
        <v>5</v>
      </c>
      <c r="G41" s="561">
        <v>4</v>
      </c>
      <c r="H41" s="561">
        <v>1</v>
      </c>
      <c r="I41" s="561">
        <f t="shared" si="3"/>
        <v>20</v>
      </c>
    </row>
    <row r="42" spans="1:9" ht="15">
      <c r="A42" s="560" t="s">
        <v>57</v>
      </c>
      <c r="B42" s="561">
        <v>8</v>
      </c>
      <c r="C42" s="561"/>
      <c r="D42" s="561">
        <v>8</v>
      </c>
      <c r="E42" s="561">
        <v>26</v>
      </c>
      <c r="F42" s="561">
        <v>38</v>
      </c>
      <c r="G42" s="561">
        <v>16</v>
      </c>
      <c r="H42" s="561">
        <v>3</v>
      </c>
      <c r="I42" s="561">
        <f t="shared" si="3"/>
        <v>99</v>
      </c>
    </row>
    <row r="43" spans="1:9" ht="15">
      <c r="A43" s="560" t="s">
        <v>421</v>
      </c>
      <c r="B43" s="561"/>
      <c r="C43" s="561">
        <v>4</v>
      </c>
      <c r="D43" s="561">
        <v>4</v>
      </c>
      <c r="E43" s="561">
        <v>14</v>
      </c>
      <c r="F43" s="561">
        <v>19</v>
      </c>
      <c r="G43" s="561">
        <v>8</v>
      </c>
      <c r="H43" s="561">
        <v>2</v>
      </c>
      <c r="I43" s="561">
        <f t="shared" si="3"/>
        <v>51</v>
      </c>
    </row>
    <row r="44" spans="1:9" ht="15">
      <c r="A44" s="560" t="s">
        <v>422</v>
      </c>
      <c r="B44" s="561">
        <v>5</v>
      </c>
      <c r="C44" s="561"/>
      <c r="D44" s="561">
        <v>5</v>
      </c>
      <c r="E44" s="561">
        <v>21</v>
      </c>
      <c r="F44" s="561">
        <v>24</v>
      </c>
      <c r="G44" s="561">
        <v>10</v>
      </c>
      <c r="H44" s="561">
        <v>2</v>
      </c>
      <c r="I44" s="561">
        <f t="shared" si="3"/>
        <v>67</v>
      </c>
    </row>
    <row r="45" spans="1:9" ht="15">
      <c r="A45" s="560" t="s">
        <v>423</v>
      </c>
      <c r="B45" s="561"/>
      <c r="C45" s="561">
        <v>3</v>
      </c>
      <c r="D45" s="561">
        <v>3</v>
      </c>
      <c r="E45" s="561">
        <v>11</v>
      </c>
      <c r="F45" s="561">
        <v>14</v>
      </c>
      <c r="G45" s="561">
        <v>6</v>
      </c>
      <c r="H45" s="561">
        <v>2</v>
      </c>
      <c r="I45" s="561">
        <f t="shared" si="3"/>
        <v>39</v>
      </c>
    </row>
    <row r="46" spans="1:9" ht="15">
      <c r="A46" s="560" t="s">
        <v>424</v>
      </c>
      <c r="B46" s="561">
        <f>9+1</f>
        <v>10</v>
      </c>
      <c r="C46" s="561"/>
      <c r="D46" s="561">
        <f>9+1</f>
        <v>10</v>
      </c>
      <c r="E46" s="561">
        <v>31</v>
      </c>
      <c r="F46" s="561">
        <f>44+4</f>
        <v>48</v>
      </c>
      <c r="G46" s="561">
        <f>18+2</f>
        <v>20</v>
      </c>
      <c r="H46" s="561">
        <v>4</v>
      </c>
      <c r="I46" s="561">
        <f t="shared" si="3"/>
        <v>123</v>
      </c>
    </row>
    <row r="47" spans="1:9" ht="15">
      <c r="A47" s="560" t="s">
        <v>425</v>
      </c>
      <c r="B47" s="561">
        <f>17+1</f>
        <v>18</v>
      </c>
      <c r="C47" s="561"/>
      <c r="D47" s="561">
        <f>17+1</f>
        <v>18</v>
      </c>
      <c r="E47" s="561">
        <f>47+3</f>
        <v>50</v>
      </c>
      <c r="F47" s="561">
        <f>77+4</f>
        <v>81</v>
      </c>
      <c r="G47" s="561">
        <f>35+2</f>
        <v>37</v>
      </c>
      <c r="H47" s="561">
        <v>6</v>
      </c>
      <c r="I47" s="561">
        <f t="shared" si="3"/>
        <v>210</v>
      </c>
    </row>
    <row r="48" spans="1:9" ht="15">
      <c r="A48" s="560" t="s">
        <v>426</v>
      </c>
      <c r="B48" s="561"/>
      <c r="C48" s="561">
        <v>5</v>
      </c>
      <c r="D48" s="561">
        <v>5</v>
      </c>
      <c r="E48" s="561">
        <v>16</v>
      </c>
      <c r="F48" s="561">
        <v>25</v>
      </c>
      <c r="G48" s="561">
        <v>10</v>
      </c>
      <c r="H48" s="561">
        <v>2</v>
      </c>
      <c r="I48" s="561">
        <f t="shared" si="3"/>
        <v>63</v>
      </c>
    </row>
    <row r="49" spans="1:9" ht="15">
      <c r="A49" s="560" t="s">
        <v>427</v>
      </c>
      <c r="B49" s="561">
        <v>13</v>
      </c>
      <c r="C49" s="561"/>
      <c r="D49" s="561">
        <v>13</v>
      </c>
      <c r="E49" s="561">
        <v>41</v>
      </c>
      <c r="F49" s="561">
        <v>76</v>
      </c>
      <c r="G49" s="561">
        <v>25</v>
      </c>
      <c r="H49" s="561">
        <v>7</v>
      </c>
      <c r="I49" s="561">
        <f t="shared" si="3"/>
        <v>175</v>
      </c>
    </row>
    <row r="50" spans="1:9" ht="15">
      <c r="A50" s="560" t="s">
        <v>428</v>
      </c>
      <c r="B50" s="561">
        <f>11+1+1</f>
        <v>13</v>
      </c>
      <c r="C50" s="561"/>
      <c r="D50" s="561">
        <f>11+1+1</f>
        <v>13</v>
      </c>
      <c r="E50" s="561">
        <v>36</v>
      </c>
      <c r="F50" s="561">
        <f>57+4</f>
        <v>61</v>
      </c>
      <c r="G50" s="561">
        <f>22+2+2</f>
        <v>26</v>
      </c>
      <c r="H50" s="561">
        <v>3</v>
      </c>
      <c r="I50" s="561">
        <f t="shared" si="3"/>
        <v>152</v>
      </c>
    </row>
    <row r="51" spans="1:72" s="571" customFormat="1" ht="15">
      <c r="A51" s="568" t="s">
        <v>429</v>
      </c>
      <c r="B51" s="569">
        <v>7</v>
      </c>
      <c r="C51" s="569"/>
      <c r="D51" s="569">
        <v>7</v>
      </c>
      <c r="E51" s="569">
        <v>22</v>
      </c>
      <c r="F51" s="569">
        <v>33</v>
      </c>
      <c r="G51" s="569">
        <v>14</v>
      </c>
      <c r="H51" s="569">
        <v>3</v>
      </c>
      <c r="I51" s="569">
        <f t="shared" si="3"/>
        <v>86</v>
      </c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570"/>
      <c r="BT51" s="570"/>
    </row>
    <row r="52" spans="1:72" ht="15">
      <c r="A52" s="560" t="s">
        <v>430</v>
      </c>
      <c r="B52" s="561">
        <f>12+1+1+1+1+1+1</f>
        <v>18</v>
      </c>
      <c r="C52" s="561"/>
      <c r="D52" s="561">
        <f>12+1+1+1+1+1+1</f>
        <v>18</v>
      </c>
      <c r="E52" s="561">
        <v>51</v>
      </c>
      <c r="F52" s="561">
        <v>81</v>
      </c>
      <c r="G52" s="561">
        <f>25+2+2+2+2+2+2</f>
        <v>37</v>
      </c>
      <c r="H52" s="561">
        <v>6</v>
      </c>
      <c r="I52" s="561">
        <f t="shared" si="3"/>
        <v>211</v>
      </c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2"/>
      <c r="AT52" s="572"/>
      <c r="AU52" s="572"/>
      <c r="AV52" s="572"/>
      <c r="AW52" s="572"/>
      <c r="AX52" s="572"/>
      <c r="AY52" s="572"/>
      <c r="AZ52" s="572"/>
      <c r="BA52" s="572"/>
      <c r="BB52" s="572"/>
      <c r="BC52" s="572"/>
      <c r="BD52" s="572"/>
      <c r="BE52" s="572"/>
      <c r="BF52" s="572"/>
      <c r="BG52" s="572"/>
      <c r="BH52" s="572"/>
      <c r="BI52" s="572"/>
      <c r="BJ52" s="572"/>
      <c r="BK52" s="572"/>
      <c r="BL52" s="572"/>
      <c r="BM52" s="572"/>
      <c r="BN52" s="572"/>
      <c r="BO52" s="572"/>
      <c r="BP52" s="572"/>
      <c r="BQ52" s="572"/>
      <c r="BR52" s="572"/>
      <c r="BS52" s="572"/>
      <c r="BT52" s="572"/>
    </row>
    <row r="53" spans="1:9" ht="15">
      <c r="A53" s="560" t="s">
        <v>431</v>
      </c>
      <c r="B53" s="561"/>
      <c r="C53" s="561">
        <f>4+1</f>
        <v>5</v>
      </c>
      <c r="D53" s="561">
        <f>4+1</f>
        <v>5</v>
      </c>
      <c r="E53" s="561">
        <f>13+3</f>
        <v>16</v>
      </c>
      <c r="F53" s="561">
        <v>24</v>
      </c>
      <c r="G53" s="561">
        <v>10</v>
      </c>
      <c r="H53" s="561">
        <v>2</v>
      </c>
      <c r="I53" s="561">
        <f t="shared" si="3"/>
        <v>62</v>
      </c>
    </row>
    <row r="54" spans="1:9" ht="15">
      <c r="A54" s="560" t="s">
        <v>432</v>
      </c>
      <c r="B54" s="561">
        <f>7+1</f>
        <v>8</v>
      </c>
      <c r="C54" s="561"/>
      <c r="D54" s="561">
        <f>7+1</f>
        <v>8</v>
      </c>
      <c r="E54" s="561">
        <f>17+3+3+3</f>
        <v>26</v>
      </c>
      <c r="F54" s="561">
        <f>34+4</f>
        <v>38</v>
      </c>
      <c r="G54" s="561">
        <f>10+2+2+2</f>
        <v>16</v>
      </c>
      <c r="H54" s="561">
        <v>3</v>
      </c>
      <c r="I54" s="561">
        <f t="shared" si="3"/>
        <v>99</v>
      </c>
    </row>
    <row r="55" spans="1:9" ht="15">
      <c r="A55" s="568" t="s">
        <v>433</v>
      </c>
      <c r="B55" s="569">
        <f>19+1+1</f>
        <v>21</v>
      </c>
      <c r="C55" s="569"/>
      <c r="D55" s="569">
        <f>19+1+1</f>
        <v>21</v>
      </c>
      <c r="E55" s="569">
        <v>61</v>
      </c>
      <c r="F55" s="569">
        <v>99</v>
      </c>
      <c r="G55" s="569">
        <f>34+1+2+1</f>
        <v>38</v>
      </c>
      <c r="H55" s="569">
        <v>7</v>
      </c>
      <c r="I55" s="569">
        <f t="shared" si="3"/>
        <v>247</v>
      </c>
    </row>
    <row r="56" spans="1:9" ht="15">
      <c r="A56" s="560" t="s">
        <v>434</v>
      </c>
      <c r="B56" s="561"/>
      <c r="C56" s="561">
        <f>5+1</f>
        <v>6</v>
      </c>
      <c r="D56" s="561">
        <f>5+1</f>
        <v>6</v>
      </c>
      <c r="E56" s="561">
        <f>16+3</f>
        <v>19</v>
      </c>
      <c r="F56" s="561">
        <f>24+4</f>
        <v>28</v>
      </c>
      <c r="G56" s="561">
        <f>10+2</f>
        <v>12</v>
      </c>
      <c r="H56" s="561">
        <v>3</v>
      </c>
      <c r="I56" s="561">
        <f t="shared" si="3"/>
        <v>74</v>
      </c>
    </row>
    <row r="57" spans="1:9" ht="15">
      <c r="A57" s="560" t="s">
        <v>435</v>
      </c>
      <c r="B57" s="561">
        <v>8</v>
      </c>
      <c r="C57" s="561"/>
      <c r="D57" s="561">
        <v>8</v>
      </c>
      <c r="E57" s="561">
        <v>25</v>
      </c>
      <c r="F57" s="561">
        <v>38</v>
      </c>
      <c r="G57" s="561">
        <v>16</v>
      </c>
      <c r="H57" s="561">
        <v>3</v>
      </c>
      <c r="I57" s="561">
        <f t="shared" si="3"/>
        <v>98</v>
      </c>
    </row>
    <row r="58" spans="1:9" ht="15">
      <c r="A58" s="560" t="s">
        <v>436</v>
      </c>
      <c r="B58" s="561">
        <v>6</v>
      </c>
      <c r="C58" s="561"/>
      <c r="D58" s="561">
        <v>6</v>
      </c>
      <c r="E58" s="561">
        <v>20</v>
      </c>
      <c r="F58" s="561">
        <v>29</v>
      </c>
      <c r="G58" s="561">
        <v>12</v>
      </c>
      <c r="H58" s="561">
        <v>4</v>
      </c>
      <c r="I58" s="561">
        <f t="shared" si="3"/>
        <v>77</v>
      </c>
    </row>
    <row r="59" spans="1:9" ht="15">
      <c r="A59" s="560" t="s">
        <v>437</v>
      </c>
      <c r="B59" s="561">
        <f>16+1+1</f>
        <v>18</v>
      </c>
      <c r="C59" s="561"/>
      <c r="D59" s="561">
        <f>16+1+1</f>
        <v>18</v>
      </c>
      <c r="E59" s="561">
        <f>47+2+3</f>
        <v>52</v>
      </c>
      <c r="F59" s="561">
        <v>92</v>
      </c>
      <c r="G59" s="561">
        <f>32+2+2</f>
        <v>36</v>
      </c>
      <c r="H59" s="561">
        <v>5</v>
      </c>
      <c r="I59" s="561">
        <f t="shared" si="3"/>
        <v>221</v>
      </c>
    </row>
    <row r="60" spans="1:9" ht="15">
      <c r="A60" s="560" t="s">
        <v>438</v>
      </c>
      <c r="B60" s="561"/>
      <c r="C60" s="561">
        <v>5</v>
      </c>
      <c r="D60" s="561">
        <v>5</v>
      </c>
      <c r="E60" s="561">
        <v>17</v>
      </c>
      <c r="F60" s="561">
        <v>25</v>
      </c>
      <c r="G60" s="561">
        <v>10</v>
      </c>
      <c r="H60" s="561">
        <v>2</v>
      </c>
      <c r="I60" s="561">
        <f t="shared" si="3"/>
        <v>64</v>
      </c>
    </row>
    <row r="61" spans="1:9" ht="15">
      <c r="A61" s="560" t="s">
        <v>439</v>
      </c>
      <c r="B61" s="561"/>
      <c r="C61" s="561">
        <f>3+1+1</f>
        <v>5</v>
      </c>
      <c r="D61" s="561">
        <f>3+1+1</f>
        <v>5</v>
      </c>
      <c r="E61" s="561">
        <f>14+3</f>
        <v>17</v>
      </c>
      <c r="F61" s="561">
        <v>23</v>
      </c>
      <c r="G61" s="561">
        <f>6+2+2</f>
        <v>10</v>
      </c>
      <c r="H61" s="561">
        <v>2</v>
      </c>
      <c r="I61" s="561">
        <f t="shared" si="3"/>
        <v>62</v>
      </c>
    </row>
    <row r="62" spans="1:9" ht="15">
      <c r="A62" s="560" t="s">
        <v>440</v>
      </c>
      <c r="B62" s="561">
        <f>11+1+1</f>
        <v>13</v>
      </c>
      <c r="C62" s="561">
        <f>6-6</f>
        <v>0</v>
      </c>
      <c r="D62" s="561">
        <f>11+1+1</f>
        <v>13</v>
      </c>
      <c r="E62" s="561">
        <f>32+3+2</f>
        <v>37</v>
      </c>
      <c r="F62" s="561">
        <f>54+4</f>
        <v>58</v>
      </c>
      <c r="G62" s="561">
        <f>22+2+2</f>
        <v>26</v>
      </c>
      <c r="H62" s="561">
        <v>4</v>
      </c>
      <c r="I62" s="561">
        <f t="shared" si="3"/>
        <v>151</v>
      </c>
    </row>
    <row r="63" spans="1:9" ht="15">
      <c r="A63" s="556" t="s">
        <v>441</v>
      </c>
      <c r="B63" s="557">
        <f aca="true" t="shared" si="4" ref="B63:H63">SUM(B38:B62)</f>
        <v>540</v>
      </c>
      <c r="C63" s="557">
        <f t="shared" si="4"/>
        <v>35</v>
      </c>
      <c r="D63" s="557">
        <f t="shared" si="4"/>
        <v>462</v>
      </c>
      <c r="E63" s="557">
        <f t="shared" si="4"/>
        <v>1518</v>
      </c>
      <c r="F63" s="557">
        <f t="shared" si="4"/>
        <v>2316</v>
      </c>
      <c r="G63" s="557">
        <f t="shared" si="4"/>
        <v>946</v>
      </c>
      <c r="H63" s="557">
        <f t="shared" si="4"/>
        <v>134</v>
      </c>
      <c r="I63" s="557">
        <f t="shared" si="3"/>
        <v>5951</v>
      </c>
    </row>
    <row r="64" spans="2:7" ht="15">
      <c r="B64" s="552"/>
      <c r="C64" s="552"/>
      <c r="D64" s="552"/>
      <c r="E64" s="552"/>
      <c r="F64" s="552"/>
      <c r="G64" s="552"/>
    </row>
    <row r="65" spans="1:7" ht="15">
      <c r="A65" s="567" t="s">
        <v>442</v>
      </c>
      <c r="B65" s="552"/>
      <c r="C65" s="552"/>
      <c r="D65" s="552"/>
      <c r="E65" s="552"/>
      <c r="F65" s="552"/>
      <c r="G65" s="552"/>
    </row>
    <row r="66" spans="2:7" ht="15">
      <c r="B66" s="552"/>
      <c r="C66" s="552"/>
      <c r="D66" s="552"/>
      <c r="E66" s="552"/>
      <c r="F66" s="552"/>
      <c r="G66" s="552"/>
    </row>
    <row r="67" spans="1:9" ht="15">
      <c r="A67" s="556" t="s">
        <v>303</v>
      </c>
      <c r="B67" s="557" t="s">
        <v>411</v>
      </c>
      <c r="C67" s="557" t="s">
        <v>412</v>
      </c>
      <c r="D67" s="557" t="s">
        <v>413</v>
      </c>
      <c r="E67" s="557" t="s">
        <v>414</v>
      </c>
      <c r="F67" s="557" t="s">
        <v>443</v>
      </c>
      <c r="G67" s="557" t="s">
        <v>416</v>
      </c>
      <c r="H67" s="557" t="s">
        <v>417</v>
      </c>
      <c r="I67" s="557" t="s">
        <v>118</v>
      </c>
    </row>
    <row r="68" spans="1:9" ht="15">
      <c r="A68" s="560" t="s">
        <v>444</v>
      </c>
      <c r="B68" s="561"/>
      <c r="C68" s="561">
        <f>5+1</f>
        <v>6</v>
      </c>
      <c r="D68" s="561">
        <f>5+1</f>
        <v>6</v>
      </c>
      <c r="E68" s="561">
        <f>12+2</f>
        <v>14</v>
      </c>
      <c r="F68" s="561">
        <f>23+4</f>
        <v>27</v>
      </c>
      <c r="G68" s="561">
        <f>11+2</f>
        <v>13</v>
      </c>
      <c r="H68" s="561">
        <v>2</v>
      </c>
      <c r="I68" s="561">
        <f aca="true" t="shared" si="5" ref="I68:I77">SUM(B68:H68)</f>
        <v>68</v>
      </c>
    </row>
    <row r="69" spans="1:9" ht="15">
      <c r="A69" s="560" t="s">
        <v>445</v>
      </c>
      <c r="B69" s="561">
        <v>11</v>
      </c>
      <c r="C69" s="561"/>
      <c r="D69" s="561">
        <v>11</v>
      </c>
      <c r="E69" s="561">
        <v>32</v>
      </c>
      <c r="F69" s="561">
        <v>51</v>
      </c>
      <c r="G69" s="561">
        <v>23</v>
      </c>
      <c r="H69" s="561">
        <v>4</v>
      </c>
      <c r="I69" s="561">
        <f t="shared" si="5"/>
        <v>132</v>
      </c>
    </row>
    <row r="70" spans="1:9" ht="15">
      <c r="A70" s="560" t="s">
        <v>446</v>
      </c>
      <c r="B70" s="561">
        <f>29+1+2+1+2+2+1+2</f>
        <v>40</v>
      </c>
      <c r="C70" s="561"/>
      <c r="D70" s="561">
        <f>28+1+1</f>
        <v>30</v>
      </c>
      <c r="E70" s="561">
        <v>76</v>
      </c>
      <c r="F70" s="561">
        <f>134+2</f>
        <v>136</v>
      </c>
      <c r="G70" s="561">
        <f>57+2</f>
        <v>59</v>
      </c>
      <c r="H70" s="561">
        <v>14</v>
      </c>
      <c r="I70" s="561">
        <f t="shared" si="5"/>
        <v>355</v>
      </c>
    </row>
    <row r="71" spans="1:9" ht="15">
      <c r="A71" s="560" t="s">
        <v>447</v>
      </c>
      <c r="B71" s="561"/>
      <c r="C71" s="561">
        <v>4</v>
      </c>
      <c r="D71" s="561">
        <v>4</v>
      </c>
      <c r="E71" s="561">
        <v>10</v>
      </c>
      <c r="F71" s="561">
        <v>23</v>
      </c>
      <c r="G71" s="561">
        <v>8</v>
      </c>
      <c r="H71" s="561">
        <v>2</v>
      </c>
      <c r="I71" s="561">
        <f t="shared" si="5"/>
        <v>51</v>
      </c>
    </row>
    <row r="72" spans="1:9" ht="15">
      <c r="A72" s="560" t="s">
        <v>448</v>
      </c>
      <c r="B72" s="561"/>
      <c r="C72" s="561">
        <v>2</v>
      </c>
      <c r="D72" s="561">
        <v>2</v>
      </c>
      <c r="E72" s="561">
        <v>6</v>
      </c>
      <c r="F72" s="561">
        <v>7</v>
      </c>
      <c r="G72" s="561">
        <v>4</v>
      </c>
      <c r="H72" s="561">
        <v>1</v>
      </c>
      <c r="I72" s="561">
        <f t="shared" si="5"/>
        <v>22</v>
      </c>
    </row>
    <row r="73" spans="1:9" ht="15">
      <c r="A73" s="560" t="s">
        <v>449</v>
      </c>
      <c r="B73" s="561"/>
      <c r="C73" s="561">
        <v>1</v>
      </c>
      <c r="D73" s="561">
        <v>1</v>
      </c>
      <c r="E73" s="561">
        <v>3</v>
      </c>
      <c r="F73" s="561">
        <v>2</v>
      </c>
      <c r="G73" s="561">
        <v>2</v>
      </c>
      <c r="H73" s="561">
        <v>2</v>
      </c>
      <c r="I73" s="561">
        <f t="shared" si="5"/>
        <v>11</v>
      </c>
    </row>
    <row r="74" spans="1:9" ht="15">
      <c r="A74" s="560" t="s">
        <v>450</v>
      </c>
      <c r="B74" s="561"/>
      <c r="C74" s="561">
        <v>1</v>
      </c>
      <c r="D74" s="561">
        <v>1</v>
      </c>
      <c r="E74" s="561">
        <v>3</v>
      </c>
      <c r="F74" s="561">
        <v>4</v>
      </c>
      <c r="G74" s="561">
        <v>2</v>
      </c>
      <c r="H74" s="561"/>
      <c r="I74" s="561">
        <f t="shared" si="5"/>
        <v>11</v>
      </c>
    </row>
    <row r="75" spans="1:9" ht="15">
      <c r="A75" s="560" t="s">
        <v>451</v>
      </c>
      <c r="B75" s="561"/>
      <c r="C75" s="561">
        <v>3</v>
      </c>
      <c r="D75" s="561">
        <v>3</v>
      </c>
      <c r="E75" s="561">
        <v>8</v>
      </c>
      <c r="F75" s="561">
        <v>16</v>
      </c>
      <c r="G75" s="561">
        <v>6</v>
      </c>
      <c r="H75" s="561">
        <v>1</v>
      </c>
      <c r="I75" s="561">
        <f t="shared" si="5"/>
        <v>37</v>
      </c>
    </row>
    <row r="76" spans="1:9" ht="15">
      <c r="A76" s="560" t="s">
        <v>452</v>
      </c>
      <c r="B76" s="561"/>
      <c r="C76" s="561">
        <v>4</v>
      </c>
      <c r="D76" s="561">
        <v>4</v>
      </c>
      <c r="E76" s="561">
        <v>9</v>
      </c>
      <c r="F76" s="561">
        <v>19</v>
      </c>
      <c r="G76" s="561">
        <v>8</v>
      </c>
      <c r="H76" s="561">
        <v>2</v>
      </c>
      <c r="I76" s="561">
        <f t="shared" si="5"/>
        <v>46</v>
      </c>
    </row>
    <row r="77" spans="1:9" ht="15">
      <c r="A77" s="556" t="s">
        <v>441</v>
      </c>
      <c r="B77" s="557">
        <f aca="true" t="shared" si="6" ref="B77:H77">SUM(B68:B76)</f>
        <v>51</v>
      </c>
      <c r="C77" s="557">
        <f t="shared" si="6"/>
        <v>21</v>
      </c>
      <c r="D77" s="557">
        <f t="shared" si="6"/>
        <v>62</v>
      </c>
      <c r="E77" s="557">
        <f t="shared" si="6"/>
        <v>161</v>
      </c>
      <c r="F77" s="557">
        <f t="shared" si="6"/>
        <v>285</v>
      </c>
      <c r="G77" s="557">
        <f t="shared" si="6"/>
        <v>125</v>
      </c>
      <c r="H77" s="557">
        <f t="shared" si="6"/>
        <v>28</v>
      </c>
      <c r="I77" s="557">
        <f t="shared" si="5"/>
        <v>733</v>
      </c>
    </row>
    <row r="78" spans="2:7" ht="15">
      <c r="B78" s="552"/>
      <c r="C78" s="552"/>
      <c r="D78" s="552"/>
      <c r="E78" s="552"/>
      <c r="F78" s="552"/>
      <c r="G78" s="552"/>
    </row>
    <row r="79" spans="1:7" ht="15">
      <c r="A79" s="567" t="s">
        <v>453</v>
      </c>
      <c r="B79" s="552"/>
      <c r="C79" s="552"/>
      <c r="D79" s="552"/>
      <c r="E79" s="552"/>
      <c r="F79" s="552"/>
      <c r="G79" s="552"/>
    </row>
    <row r="80" spans="2:7" ht="15">
      <c r="B80" s="552"/>
      <c r="C80" s="552"/>
      <c r="D80" s="552"/>
      <c r="E80" s="552"/>
      <c r="F80" s="552"/>
      <c r="G80" s="552"/>
    </row>
    <row r="81" spans="1:9" ht="15">
      <c r="A81" s="556" t="s">
        <v>303</v>
      </c>
      <c r="B81" s="557" t="s">
        <v>411</v>
      </c>
      <c r="C81" s="557" t="s">
        <v>412</v>
      </c>
      <c r="D81" s="557" t="s">
        <v>413</v>
      </c>
      <c r="E81" s="557" t="s">
        <v>414</v>
      </c>
      <c r="F81" s="557" t="s">
        <v>443</v>
      </c>
      <c r="G81" s="557" t="s">
        <v>416</v>
      </c>
      <c r="H81" s="557" t="s">
        <v>417</v>
      </c>
      <c r="I81" s="557" t="s">
        <v>118</v>
      </c>
    </row>
    <row r="82" spans="1:9" ht="15">
      <c r="A82" s="560" t="s">
        <v>454</v>
      </c>
      <c r="B82" s="561"/>
      <c r="C82" s="561">
        <f>2+1</f>
        <v>3</v>
      </c>
      <c r="D82" s="561">
        <f>2+1</f>
        <v>3</v>
      </c>
      <c r="E82" s="561">
        <f>6+2</f>
        <v>8</v>
      </c>
      <c r="F82" s="561">
        <f>6+2</f>
        <v>8</v>
      </c>
      <c r="G82" s="561">
        <f>4+2</f>
        <v>6</v>
      </c>
      <c r="H82" s="561">
        <v>1</v>
      </c>
      <c r="I82" s="561">
        <f aca="true" t="shared" si="7" ref="I82:I89">SUM(B82:H82)</f>
        <v>29</v>
      </c>
    </row>
    <row r="83" spans="1:9" ht="15">
      <c r="A83" s="560" t="s">
        <v>455</v>
      </c>
      <c r="B83" s="561"/>
      <c r="C83" s="561">
        <v>2</v>
      </c>
      <c r="D83" s="561">
        <v>2</v>
      </c>
      <c r="E83" s="561">
        <v>6</v>
      </c>
      <c r="F83" s="561">
        <v>7</v>
      </c>
      <c r="G83" s="561">
        <v>4</v>
      </c>
      <c r="H83" s="561">
        <v>1</v>
      </c>
      <c r="I83" s="561">
        <f t="shared" si="7"/>
        <v>22</v>
      </c>
    </row>
    <row r="84" spans="1:9" ht="15">
      <c r="A84" s="560" t="s">
        <v>456</v>
      </c>
      <c r="B84" s="561"/>
      <c r="C84" s="561">
        <v>2</v>
      </c>
      <c r="D84" s="561">
        <v>2</v>
      </c>
      <c r="E84" s="561">
        <v>6</v>
      </c>
      <c r="F84" s="561">
        <v>5</v>
      </c>
      <c r="G84" s="561">
        <v>4</v>
      </c>
      <c r="H84" s="561">
        <v>2</v>
      </c>
      <c r="I84" s="561">
        <f t="shared" si="7"/>
        <v>21</v>
      </c>
    </row>
    <row r="85" spans="1:9" ht="15">
      <c r="A85" s="560" t="s">
        <v>457</v>
      </c>
      <c r="B85" s="561">
        <f>26+1+1</f>
        <v>28</v>
      </c>
      <c r="C85" s="561"/>
      <c r="D85" s="561">
        <f>24+1</f>
        <v>25</v>
      </c>
      <c r="E85" s="561">
        <v>67</v>
      </c>
      <c r="F85" s="561">
        <f>103+1</f>
        <v>104</v>
      </c>
      <c r="G85" s="561">
        <f>41+1+1</f>
        <v>43</v>
      </c>
      <c r="H85" s="561">
        <v>12</v>
      </c>
      <c r="I85" s="561">
        <f t="shared" si="7"/>
        <v>279</v>
      </c>
    </row>
    <row r="86" spans="1:9" ht="15">
      <c r="A86" s="560" t="s">
        <v>458</v>
      </c>
      <c r="B86" s="561"/>
      <c r="C86" s="561">
        <v>1</v>
      </c>
      <c r="D86" s="561">
        <v>1</v>
      </c>
      <c r="E86" s="561">
        <v>3</v>
      </c>
      <c r="F86" s="561">
        <v>2</v>
      </c>
      <c r="G86" s="561">
        <v>2</v>
      </c>
      <c r="H86" s="561"/>
      <c r="I86" s="561">
        <f t="shared" si="7"/>
        <v>9</v>
      </c>
    </row>
    <row r="87" spans="1:9" ht="15">
      <c r="A87" s="560" t="s">
        <v>459</v>
      </c>
      <c r="B87" s="561"/>
      <c r="C87" s="561">
        <v>1</v>
      </c>
      <c r="D87" s="561">
        <v>1</v>
      </c>
      <c r="E87" s="561">
        <v>3</v>
      </c>
      <c r="F87" s="561">
        <v>3</v>
      </c>
      <c r="G87" s="561">
        <v>2</v>
      </c>
      <c r="H87" s="561">
        <v>1</v>
      </c>
      <c r="I87" s="561">
        <f t="shared" si="7"/>
        <v>11</v>
      </c>
    </row>
    <row r="88" spans="1:9" ht="15">
      <c r="A88" s="560" t="s">
        <v>460</v>
      </c>
      <c r="B88" s="561"/>
      <c r="C88" s="561">
        <v>1</v>
      </c>
      <c r="D88" s="561">
        <v>1</v>
      </c>
      <c r="E88" s="561">
        <v>3</v>
      </c>
      <c r="F88" s="561">
        <v>2</v>
      </c>
      <c r="G88" s="561">
        <v>2</v>
      </c>
      <c r="H88" s="561"/>
      <c r="I88" s="561">
        <f t="shared" si="7"/>
        <v>9</v>
      </c>
    </row>
    <row r="89" spans="1:9" ht="15">
      <c r="A89" s="556" t="s">
        <v>441</v>
      </c>
      <c r="B89" s="557">
        <f aca="true" t="shared" si="8" ref="B89:H89">SUM(B82:B88)</f>
        <v>28</v>
      </c>
      <c r="C89" s="557">
        <f t="shared" si="8"/>
        <v>10</v>
      </c>
      <c r="D89" s="557">
        <f t="shared" si="8"/>
        <v>35</v>
      </c>
      <c r="E89" s="557">
        <f t="shared" si="8"/>
        <v>96</v>
      </c>
      <c r="F89" s="557">
        <f t="shared" si="8"/>
        <v>131</v>
      </c>
      <c r="G89" s="557">
        <f t="shared" si="8"/>
        <v>63</v>
      </c>
      <c r="H89" s="557">
        <f t="shared" si="8"/>
        <v>17</v>
      </c>
      <c r="I89" s="557">
        <f t="shared" si="7"/>
        <v>380</v>
      </c>
    </row>
    <row r="90" spans="2:7" ht="15">
      <c r="B90" s="552"/>
      <c r="C90" s="552"/>
      <c r="D90" s="552"/>
      <c r="E90" s="552"/>
      <c r="F90" s="552"/>
      <c r="G90" s="552"/>
    </row>
    <row r="91" spans="1:7" ht="15">
      <c r="A91" s="567" t="s">
        <v>461</v>
      </c>
      <c r="B91" s="552"/>
      <c r="C91" s="552"/>
      <c r="D91" s="552"/>
      <c r="E91" s="552"/>
      <c r="F91" s="552"/>
      <c r="G91" s="552"/>
    </row>
    <row r="92" spans="2:7" ht="15">
      <c r="B92" s="552"/>
      <c r="C92" s="552"/>
      <c r="D92" s="552"/>
      <c r="E92" s="552"/>
      <c r="F92" s="552"/>
      <c r="G92" s="552"/>
    </row>
    <row r="93" spans="1:9" ht="15">
      <c r="A93" s="556" t="s">
        <v>303</v>
      </c>
      <c r="B93" s="557" t="s">
        <v>411</v>
      </c>
      <c r="C93" s="557" t="s">
        <v>412</v>
      </c>
      <c r="D93" s="557" t="s">
        <v>413</v>
      </c>
      <c r="E93" s="557" t="s">
        <v>414</v>
      </c>
      <c r="F93" s="557" t="s">
        <v>443</v>
      </c>
      <c r="G93" s="557" t="s">
        <v>416</v>
      </c>
      <c r="H93" s="557" t="s">
        <v>417</v>
      </c>
      <c r="I93" s="557" t="s">
        <v>118</v>
      </c>
    </row>
    <row r="94" spans="1:9" ht="15">
      <c r="A94" s="560" t="s">
        <v>462</v>
      </c>
      <c r="B94" s="561">
        <f>8+1</f>
        <v>9</v>
      </c>
      <c r="C94" s="561"/>
      <c r="D94" s="561">
        <f>8+1</f>
        <v>9</v>
      </c>
      <c r="E94" s="561">
        <v>20</v>
      </c>
      <c r="F94" s="561">
        <f>36+5</f>
        <v>41</v>
      </c>
      <c r="G94" s="561">
        <f>16+2</f>
        <v>18</v>
      </c>
      <c r="H94" s="561">
        <v>4</v>
      </c>
      <c r="I94" s="561">
        <f aca="true" t="shared" si="9" ref="I94:I99">SUM(B94:H94)</f>
        <v>101</v>
      </c>
    </row>
    <row r="95" spans="1:9" ht="15">
      <c r="A95" s="560" t="s">
        <v>463</v>
      </c>
      <c r="B95" s="561"/>
      <c r="C95" s="561">
        <v>1</v>
      </c>
      <c r="D95" s="561">
        <v>1</v>
      </c>
      <c r="E95" s="561">
        <v>3</v>
      </c>
      <c r="F95" s="561">
        <v>3</v>
      </c>
      <c r="G95" s="561">
        <v>2</v>
      </c>
      <c r="H95" s="561"/>
      <c r="I95" s="561">
        <f t="shared" si="9"/>
        <v>10</v>
      </c>
    </row>
    <row r="96" spans="1:9" ht="15">
      <c r="A96" s="560" t="s">
        <v>464</v>
      </c>
      <c r="B96" s="561">
        <v>14</v>
      </c>
      <c r="C96" s="561"/>
      <c r="D96" s="561">
        <v>14</v>
      </c>
      <c r="E96" s="561">
        <v>41</v>
      </c>
      <c r="F96" s="561">
        <v>64</v>
      </c>
      <c r="G96" s="561">
        <v>29</v>
      </c>
      <c r="H96" s="561">
        <v>7</v>
      </c>
      <c r="I96" s="561">
        <f t="shared" si="9"/>
        <v>169</v>
      </c>
    </row>
    <row r="97" spans="1:9" ht="15">
      <c r="A97" s="560" t="s">
        <v>465</v>
      </c>
      <c r="B97" s="561">
        <f>36+2+3</f>
        <v>41</v>
      </c>
      <c r="C97" s="561"/>
      <c r="D97" s="561">
        <f>29+1+3</f>
        <v>33</v>
      </c>
      <c r="E97" s="561">
        <v>81</v>
      </c>
      <c r="F97" s="561">
        <f>142+1</f>
        <v>143</v>
      </c>
      <c r="G97" s="561">
        <v>63</v>
      </c>
      <c r="H97" s="561">
        <v>13</v>
      </c>
      <c r="I97" s="561">
        <f t="shared" si="9"/>
        <v>374</v>
      </c>
    </row>
    <row r="98" spans="1:9" ht="15">
      <c r="A98" s="560" t="s">
        <v>466</v>
      </c>
      <c r="B98" s="561"/>
      <c r="C98" s="561">
        <v>3</v>
      </c>
      <c r="D98" s="561">
        <v>3</v>
      </c>
      <c r="E98" s="561">
        <v>8</v>
      </c>
      <c r="F98" s="561">
        <v>13</v>
      </c>
      <c r="G98" s="561">
        <v>6</v>
      </c>
      <c r="H98" s="561">
        <v>1</v>
      </c>
      <c r="I98" s="561">
        <f t="shared" si="9"/>
        <v>34</v>
      </c>
    </row>
    <row r="99" spans="1:9" ht="15">
      <c r="A99" s="556" t="s">
        <v>467</v>
      </c>
      <c r="B99" s="557">
        <f aca="true" t="shared" si="10" ref="B99:H99">SUM(B94:B98)</f>
        <v>64</v>
      </c>
      <c r="C99" s="557">
        <f t="shared" si="10"/>
        <v>4</v>
      </c>
      <c r="D99" s="557">
        <f t="shared" si="10"/>
        <v>60</v>
      </c>
      <c r="E99" s="557">
        <f t="shared" si="10"/>
        <v>153</v>
      </c>
      <c r="F99" s="557">
        <f t="shared" si="10"/>
        <v>264</v>
      </c>
      <c r="G99" s="557">
        <f t="shared" si="10"/>
        <v>118</v>
      </c>
      <c r="H99" s="557">
        <f t="shared" si="10"/>
        <v>25</v>
      </c>
      <c r="I99" s="557">
        <f t="shared" si="9"/>
        <v>688</v>
      </c>
    </row>
    <row r="100" spans="1:8" ht="15">
      <c r="A100" s="573"/>
      <c r="B100" s="574"/>
      <c r="C100" s="574"/>
      <c r="D100" s="574"/>
      <c r="E100" s="574"/>
      <c r="F100" s="574"/>
      <c r="G100" s="574"/>
      <c r="H100" s="574"/>
    </row>
    <row r="101" spans="1:8" ht="15">
      <c r="A101" s="575" t="s">
        <v>468</v>
      </c>
      <c r="B101" s="574"/>
      <c r="C101" s="574"/>
      <c r="D101" s="574"/>
      <c r="E101" s="574"/>
      <c r="F101" s="574"/>
      <c r="G101" s="574"/>
      <c r="H101" s="574"/>
    </row>
    <row r="102" spans="1:8" ht="15">
      <c r="A102" s="573"/>
      <c r="B102" s="574"/>
      <c r="C102" s="574"/>
      <c r="D102" s="574"/>
      <c r="E102" s="574"/>
      <c r="F102" s="574"/>
      <c r="G102" s="574"/>
      <c r="H102" s="574"/>
    </row>
    <row r="103" spans="1:9" ht="15">
      <c r="A103" s="556" t="s">
        <v>410</v>
      </c>
      <c r="B103" s="557" t="s">
        <v>411</v>
      </c>
      <c r="C103" s="557" t="s">
        <v>412</v>
      </c>
      <c r="D103" s="557" t="s">
        <v>413</v>
      </c>
      <c r="E103" s="557" t="s">
        <v>414</v>
      </c>
      <c r="F103" s="557" t="s">
        <v>443</v>
      </c>
      <c r="G103" s="557" t="s">
        <v>416</v>
      </c>
      <c r="H103" s="557" t="s">
        <v>417</v>
      </c>
      <c r="I103" s="557" t="s">
        <v>118</v>
      </c>
    </row>
    <row r="104" spans="1:9" ht="15">
      <c r="A104" s="560" t="s">
        <v>469</v>
      </c>
      <c r="B104" s="561"/>
      <c r="C104" s="561">
        <f>2+1+1</f>
        <v>4</v>
      </c>
      <c r="D104" s="561">
        <f>2+1+1</f>
        <v>4</v>
      </c>
      <c r="E104" s="561">
        <f>11+3</f>
        <v>14</v>
      </c>
      <c r="F104" s="561">
        <f>14+4</f>
        <v>18</v>
      </c>
      <c r="G104" s="561">
        <f>4+2+2</f>
        <v>8</v>
      </c>
      <c r="H104" s="561">
        <v>3</v>
      </c>
      <c r="I104" s="561">
        <f>SUM(B104:H104)</f>
        <v>51</v>
      </c>
    </row>
    <row r="105" spans="1:9" ht="15">
      <c r="A105" s="560" t="s">
        <v>470</v>
      </c>
      <c r="B105" s="561"/>
      <c r="C105" s="561">
        <v>1</v>
      </c>
      <c r="D105" s="561">
        <v>1</v>
      </c>
      <c r="E105" s="561">
        <v>3</v>
      </c>
      <c r="F105" s="561">
        <v>3</v>
      </c>
      <c r="G105" s="561">
        <v>2</v>
      </c>
      <c r="H105" s="561">
        <v>2</v>
      </c>
      <c r="I105" s="561">
        <f>SUM(B105:H105)</f>
        <v>12</v>
      </c>
    </row>
    <row r="106" spans="1:9" ht="15">
      <c r="A106" s="560" t="s">
        <v>471</v>
      </c>
      <c r="B106" s="561">
        <v>2</v>
      </c>
      <c r="C106" s="561">
        <f>4+1</f>
        <v>5</v>
      </c>
      <c r="D106" s="561">
        <f>6+1</f>
        <v>7</v>
      </c>
      <c r="E106" s="561">
        <f>18+3</f>
        <v>21</v>
      </c>
      <c r="F106" s="561">
        <f>28+4</f>
        <v>32</v>
      </c>
      <c r="G106" s="561">
        <v>15</v>
      </c>
      <c r="H106" s="561">
        <v>4</v>
      </c>
      <c r="I106" s="561">
        <f>SUM(B106:H106)</f>
        <v>86</v>
      </c>
    </row>
    <row r="107" spans="1:9" ht="15">
      <c r="A107" s="556" t="s">
        <v>467</v>
      </c>
      <c r="B107" s="557">
        <f aca="true" t="shared" si="11" ref="B107:H107">SUM(B102:B106)</f>
        <v>2</v>
      </c>
      <c r="C107" s="557">
        <f t="shared" si="11"/>
        <v>10</v>
      </c>
      <c r="D107" s="557">
        <f t="shared" si="11"/>
        <v>12</v>
      </c>
      <c r="E107" s="557">
        <f t="shared" si="11"/>
        <v>38</v>
      </c>
      <c r="F107" s="557">
        <f t="shared" si="11"/>
        <v>53</v>
      </c>
      <c r="G107" s="557">
        <f t="shared" si="11"/>
        <v>25</v>
      </c>
      <c r="H107" s="557">
        <f t="shared" si="11"/>
        <v>9</v>
      </c>
      <c r="I107" s="557">
        <f>SUM(B107:H107)</f>
        <v>149</v>
      </c>
    </row>
    <row r="108" spans="2:7" ht="15">
      <c r="B108" s="552"/>
      <c r="C108" s="552"/>
      <c r="D108" s="552"/>
      <c r="E108" s="552"/>
      <c r="F108" s="552"/>
      <c r="G108" s="552"/>
    </row>
    <row r="109" spans="2:9" ht="15">
      <c r="B109" s="552"/>
      <c r="C109" s="552"/>
      <c r="D109" s="552"/>
      <c r="E109" s="552"/>
      <c r="F109" s="552"/>
      <c r="G109" s="552"/>
      <c r="I109" s="576"/>
    </row>
    <row r="110" spans="1:7" ht="15">
      <c r="A110" s="567" t="s">
        <v>472</v>
      </c>
      <c r="B110" s="552"/>
      <c r="C110" s="552"/>
      <c r="D110" s="552"/>
      <c r="E110" s="552"/>
      <c r="F110" s="552"/>
      <c r="G110" s="552"/>
    </row>
    <row r="111" spans="2:7" ht="15">
      <c r="B111" s="552"/>
      <c r="C111" s="552"/>
      <c r="D111" s="552"/>
      <c r="E111" s="552"/>
      <c r="F111" s="552"/>
      <c r="G111" s="552"/>
    </row>
    <row r="112" spans="2:7" ht="15">
      <c r="B112" s="552"/>
      <c r="C112" s="552"/>
      <c r="D112" s="552"/>
      <c r="E112" s="552"/>
      <c r="F112" s="552"/>
      <c r="G112" s="552"/>
    </row>
    <row r="113" spans="1:9" ht="15">
      <c r="A113" s="556" t="s">
        <v>302</v>
      </c>
      <c r="B113" s="557" t="s">
        <v>411</v>
      </c>
      <c r="C113" s="557" t="s">
        <v>412</v>
      </c>
      <c r="D113" s="557" t="s">
        <v>413</v>
      </c>
      <c r="E113" s="557" t="s">
        <v>414</v>
      </c>
      <c r="F113" s="557" t="s">
        <v>443</v>
      </c>
      <c r="G113" s="557" t="s">
        <v>416</v>
      </c>
      <c r="H113" s="557" t="s">
        <v>417</v>
      </c>
      <c r="I113" s="557" t="s">
        <v>118</v>
      </c>
    </row>
    <row r="114" spans="1:11" ht="15">
      <c r="A114" s="560" t="s">
        <v>473</v>
      </c>
      <c r="B114" s="561">
        <f aca="true" t="shared" si="12" ref="B114:I114">B63</f>
        <v>540</v>
      </c>
      <c r="C114" s="561">
        <f t="shared" si="12"/>
        <v>35</v>
      </c>
      <c r="D114" s="561">
        <f t="shared" si="12"/>
        <v>462</v>
      </c>
      <c r="E114" s="561">
        <f t="shared" si="12"/>
        <v>1518</v>
      </c>
      <c r="F114" s="561">
        <f t="shared" si="12"/>
        <v>2316</v>
      </c>
      <c r="G114" s="561">
        <f t="shared" si="12"/>
        <v>946</v>
      </c>
      <c r="H114" s="561">
        <f t="shared" si="12"/>
        <v>134</v>
      </c>
      <c r="I114" s="561">
        <f t="shared" si="12"/>
        <v>5951</v>
      </c>
      <c r="J114" s="577"/>
      <c r="K114" s="576"/>
    </row>
    <row r="115" spans="1:11" ht="15">
      <c r="A115" s="560" t="s">
        <v>71</v>
      </c>
      <c r="B115" s="561">
        <f aca="true" t="shared" si="13" ref="B115:I115">B77</f>
        <v>51</v>
      </c>
      <c r="C115" s="561">
        <f t="shared" si="13"/>
        <v>21</v>
      </c>
      <c r="D115" s="561">
        <f t="shared" si="13"/>
        <v>62</v>
      </c>
      <c r="E115" s="561">
        <f t="shared" si="13"/>
        <v>161</v>
      </c>
      <c r="F115" s="561">
        <f t="shared" si="13"/>
        <v>285</v>
      </c>
      <c r="G115" s="561">
        <f t="shared" si="13"/>
        <v>125</v>
      </c>
      <c r="H115" s="561">
        <f t="shared" si="13"/>
        <v>28</v>
      </c>
      <c r="I115" s="561">
        <f t="shared" si="13"/>
        <v>733</v>
      </c>
      <c r="J115" s="577"/>
      <c r="K115" s="576"/>
    </row>
    <row r="116" spans="1:11" ht="15">
      <c r="A116" s="560" t="s">
        <v>474</v>
      </c>
      <c r="B116" s="561">
        <f aca="true" t="shared" si="14" ref="B116:I116">B89</f>
        <v>28</v>
      </c>
      <c r="C116" s="561">
        <f t="shared" si="14"/>
        <v>10</v>
      </c>
      <c r="D116" s="561">
        <f t="shared" si="14"/>
        <v>35</v>
      </c>
      <c r="E116" s="561">
        <f t="shared" si="14"/>
        <v>96</v>
      </c>
      <c r="F116" s="561">
        <f t="shared" si="14"/>
        <v>131</v>
      </c>
      <c r="G116" s="561">
        <f t="shared" si="14"/>
        <v>63</v>
      </c>
      <c r="H116" s="561">
        <f t="shared" si="14"/>
        <v>17</v>
      </c>
      <c r="I116" s="561">
        <f t="shared" si="14"/>
        <v>380</v>
      </c>
      <c r="J116" s="577"/>
      <c r="K116" s="576"/>
    </row>
    <row r="117" spans="1:11" ht="15">
      <c r="A117" s="560" t="s">
        <v>87</v>
      </c>
      <c r="B117" s="561">
        <f aca="true" t="shared" si="15" ref="B117:I117">B99</f>
        <v>64</v>
      </c>
      <c r="C117" s="561">
        <f t="shared" si="15"/>
        <v>4</v>
      </c>
      <c r="D117" s="561">
        <f t="shared" si="15"/>
        <v>60</v>
      </c>
      <c r="E117" s="561">
        <f t="shared" si="15"/>
        <v>153</v>
      </c>
      <c r="F117" s="561">
        <f t="shared" si="15"/>
        <v>264</v>
      </c>
      <c r="G117" s="561">
        <f t="shared" si="15"/>
        <v>118</v>
      </c>
      <c r="H117" s="561">
        <f t="shared" si="15"/>
        <v>25</v>
      </c>
      <c r="I117" s="561">
        <f t="shared" si="15"/>
        <v>688</v>
      </c>
      <c r="J117" s="577"/>
      <c r="K117" s="576"/>
    </row>
    <row r="118" spans="1:11" ht="15">
      <c r="A118" s="560" t="s">
        <v>92</v>
      </c>
      <c r="B118" s="561">
        <f aca="true" t="shared" si="16" ref="B118:I118">SUM(B107)</f>
        <v>2</v>
      </c>
      <c r="C118" s="561">
        <f t="shared" si="16"/>
        <v>10</v>
      </c>
      <c r="D118" s="561">
        <f t="shared" si="16"/>
        <v>12</v>
      </c>
      <c r="E118" s="561">
        <f t="shared" si="16"/>
        <v>38</v>
      </c>
      <c r="F118" s="561">
        <f t="shared" si="16"/>
        <v>53</v>
      </c>
      <c r="G118" s="561">
        <f t="shared" si="16"/>
        <v>25</v>
      </c>
      <c r="H118" s="561">
        <f t="shared" si="16"/>
        <v>9</v>
      </c>
      <c r="I118" s="561">
        <f t="shared" si="16"/>
        <v>149</v>
      </c>
      <c r="J118" s="577"/>
      <c r="K118" s="576"/>
    </row>
    <row r="119" spans="1:9" ht="15">
      <c r="A119" s="556" t="s">
        <v>475</v>
      </c>
      <c r="B119" s="557">
        <f aca="true" t="shared" si="17" ref="B119:H119">SUM(B114:B118)</f>
        <v>685</v>
      </c>
      <c r="C119" s="557">
        <f t="shared" si="17"/>
        <v>80</v>
      </c>
      <c r="D119" s="557">
        <f t="shared" si="17"/>
        <v>631</v>
      </c>
      <c r="E119" s="557">
        <f t="shared" si="17"/>
        <v>1966</v>
      </c>
      <c r="F119" s="557">
        <f t="shared" si="17"/>
        <v>3049</v>
      </c>
      <c r="G119" s="557">
        <f t="shared" si="17"/>
        <v>1277</v>
      </c>
      <c r="H119" s="557">
        <f t="shared" si="17"/>
        <v>213</v>
      </c>
      <c r="I119" s="557">
        <f>SUM(B119:H119)</f>
        <v>7901</v>
      </c>
    </row>
    <row r="120" spans="2:7" ht="15">
      <c r="B120" s="552"/>
      <c r="E120" s="552"/>
      <c r="F120" s="552"/>
      <c r="G120" s="552"/>
    </row>
    <row r="121" spans="2:7" ht="15">
      <c r="B121" s="552"/>
      <c r="C121" s="552"/>
      <c r="D121" s="552"/>
      <c r="E121" s="552"/>
      <c r="F121" s="552"/>
      <c r="G121" s="552"/>
    </row>
    <row r="122" spans="1:7" ht="15.75">
      <c r="A122" s="555" t="s">
        <v>476</v>
      </c>
      <c r="B122" s="551"/>
      <c r="C122" s="551"/>
      <c r="D122" s="551"/>
      <c r="E122" s="551"/>
      <c r="F122" s="551"/>
      <c r="G122" s="551"/>
    </row>
    <row r="123" spans="2:7" ht="15">
      <c r="B123" s="552"/>
      <c r="C123" s="552"/>
      <c r="D123" s="552"/>
      <c r="E123" s="552"/>
      <c r="F123" s="552"/>
      <c r="G123" s="552"/>
    </row>
    <row r="124" spans="2:7" ht="15">
      <c r="B124" s="552"/>
      <c r="C124" s="552"/>
      <c r="D124" s="552"/>
      <c r="E124" s="552"/>
      <c r="F124" s="552"/>
      <c r="G124" s="552"/>
    </row>
    <row r="125" spans="1:8" ht="15">
      <c r="A125" s="556"/>
      <c r="B125" s="557" t="s">
        <v>53</v>
      </c>
      <c r="C125" s="557" t="s">
        <v>71</v>
      </c>
      <c r="D125" s="557" t="s">
        <v>80</v>
      </c>
      <c r="E125" s="557" t="s">
        <v>87</v>
      </c>
      <c r="F125" s="557" t="s">
        <v>330</v>
      </c>
      <c r="G125" s="557" t="s">
        <v>118</v>
      </c>
      <c r="H125" s="578"/>
    </row>
    <row r="126" spans="1:7" ht="15">
      <c r="A126" s="560" t="s">
        <v>499</v>
      </c>
      <c r="B126" s="561">
        <v>1</v>
      </c>
      <c r="C126" s="561"/>
      <c r="D126" s="561"/>
      <c r="E126" s="561"/>
      <c r="F126" s="561"/>
      <c r="G126" s="561">
        <f>SUM(B126:F126)</f>
        <v>1</v>
      </c>
    </row>
    <row r="127" spans="1:7" ht="15">
      <c r="A127" s="560" t="s">
        <v>500</v>
      </c>
      <c r="B127" s="561">
        <v>1</v>
      </c>
      <c r="C127" s="561">
        <v>1</v>
      </c>
      <c r="D127" s="561">
        <v>1</v>
      </c>
      <c r="E127" s="561">
        <v>1</v>
      </c>
      <c r="F127" s="561"/>
      <c r="G127" s="561">
        <f>SUM(B127:F127)</f>
        <v>4</v>
      </c>
    </row>
    <row r="128" spans="1:7" ht="15">
      <c r="A128" s="560" t="s">
        <v>501</v>
      </c>
      <c r="B128" s="561">
        <v>6</v>
      </c>
      <c r="C128" s="561"/>
      <c r="D128" s="561"/>
      <c r="E128" s="561"/>
      <c r="F128" s="561"/>
      <c r="G128" s="561">
        <f>SUM(B128:F128)</f>
        <v>6</v>
      </c>
    </row>
    <row r="129" spans="1:7" ht="15">
      <c r="A129" s="560" t="s">
        <v>502</v>
      </c>
      <c r="B129" s="561">
        <v>5</v>
      </c>
      <c r="C129" s="561">
        <v>3</v>
      </c>
      <c r="D129" s="561">
        <v>1</v>
      </c>
      <c r="E129" s="561">
        <v>2</v>
      </c>
      <c r="F129" s="561">
        <v>1</v>
      </c>
      <c r="G129" s="561">
        <f>SUM(B129:F129)</f>
        <v>12</v>
      </c>
    </row>
    <row r="130" spans="1:7" ht="15">
      <c r="A130" s="560"/>
      <c r="B130" s="561"/>
      <c r="C130" s="561"/>
      <c r="D130" s="561"/>
      <c r="E130" s="561"/>
      <c r="F130" s="561"/>
      <c r="G130" s="561"/>
    </row>
    <row r="131" spans="1:7" ht="15">
      <c r="A131" s="560" t="s">
        <v>497</v>
      </c>
      <c r="B131" s="561">
        <v>1</v>
      </c>
      <c r="C131" s="561"/>
      <c r="D131" s="561"/>
      <c r="E131" s="561"/>
      <c r="F131" s="561"/>
      <c r="G131" s="561">
        <f aca="true" t="shared" si="18" ref="G131:G140">SUM(B131:F131)</f>
        <v>1</v>
      </c>
    </row>
    <row r="132" spans="1:7" ht="15">
      <c r="A132" s="560" t="s">
        <v>477</v>
      </c>
      <c r="B132" s="561">
        <v>1</v>
      </c>
      <c r="C132" s="561">
        <v>1</v>
      </c>
      <c r="D132" s="561">
        <v>1</v>
      </c>
      <c r="E132" s="561">
        <v>1</v>
      </c>
      <c r="F132" s="561"/>
      <c r="G132" s="561">
        <f t="shared" si="18"/>
        <v>4</v>
      </c>
    </row>
    <row r="133" spans="1:7" ht="15">
      <c r="A133" s="560" t="s">
        <v>478</v>
      </c>
      <c r="B133" s="561">
        <v>2</v>
      </c>
      <c r="C133" s="561">
        <v>1</v>
      </c>
      <c r="D133" s="561">
        <v>1</v>
      </c>
      <c r="E133" s="561">
        <v>1</v>
      </c>
      <c r="F133" s="561"/>
      <c r="G133" s="561">
        <f t="shared" si="18"/>
        <v>5</v>
      </c>
    </row>
    <row r="134" spans="1:7" ht="15">
      <c r="A134" s="560" t="s">
        <v>495</v>
      </c>
      <c r="B134" s="561">
        <v>6</v>
      </c>
      <c r="C134" s="561"/>
      <c r="D134" s="561"/>
      <c r="E134" s="561"/>
      <c r="F134" s="561"/>
      <c r="G134" s="561">
        <f t="shared" si="18"/>
        <v>6</v>
      </c>
    </row>
    <row r="135" spans="1:7" ht="15">
      <c r="A135" s="560" t="s">
        <v>120</v>
      </c>
      <c r="B135" s="561">
        <v>201</v>
      </c>
      <c r="C135" s="561">
        <v>29</v>
      </c>
      <c r="D135" s="561">
        <f>8+1+1</f>
        <v>10</v>
      </c>
      <c r="E135" s="561">
        <f>20+1+1+1+1+2+1</f>
        <v>27</v>
      </c>
      <c r="F135" s="561">
        <v>6</v>
      </c>
      <c r="G135" s="561">
        <f t="shared" si="18"/>
        <v>273</v>
      </c>
    </row>
    <row r="136" spans="1:7" ht="15">
      <c r="A136" s="560" t="s">
        <v>121</v>
      </c>
      <c r="B136" s="561">
        <v>56</v>
      </c>
      <c r="C136" s="561">
        <v>13</v>
      </c>
      <c r="D136" s="561">
        <v>6</v>
      </c>
      <c r="E136" s="561">
        <v>9</v>
      </c>
      <c r="F136" s="561">
        <v>2</v>
      </c>
      <c r="G136" s="561">
        <f t="shared" si="18"/>
        <v>86</v>
      </c>
    </row>
    <row r="137" spans="1:7" ht="15">
      <c r="A137" s="560" t="s">
        <v>143</v>
      </c>
      <c r="B137" s="561">
        <v>30</v>
      </c>
      <c r="C137" s="561">
        <v>13</v>
      </c>
      <c r="D137" s="561">
        <v>4</v>
      </c>
      <c r="E137" s="561">
        <v>7</v>
      </c>
      <c r="F137" s="561">
        <v>1</v>
      </c>
      <c r="G137" s="561">
        <f t="shared" si="18"/>
        <v>55</v>
      </c>
    </row>
    <row r="138" spans="1:7" ht="15">
      <c r="A138" s="560" t="s">
        <v>503</v>
      </c>
      <c r="B138" s="561">
        <f>141+1+5</f>
        <v>147</v>
      </c>
      <c r="C138" s="561">
        <f>31+2</f>
        <v>33</v>
      </c>
      <c r="D138" s="561">
        <v>13</v>
      </c>
      <c r="E138" s="561">
        <f>26+3</f>
        <v>29</v>
      </c>
      <c r="F138" s="561">
        <v>3</v>
      </c>
      <c r="G138" s="561">
        <f t="shared" si="18"/>
        <v>225</v>
      </c>
    </row>
    <row r="139" spans="1:7" ht="15">
      <c r="A139" s="560" t="s">
        <v>145</v>
      </c>
      <c r="B139" s="561">
        <v>43</v>
      </c>
      <c r="C139" s="561">
        <v>10</v>
      </c>
      <c r="D139" s="561">
        <v>4</v>
      </c>
      <c r="E139" s="561">
        <v>9</v>
      </c>
      <c r="F139" s="561">
        <v>1</v>
      </c>
      <c r="G139" s="561">
        <f t="shared" si="18"/>
        <v>67</v>
      </c>
    </row>
    <row r="140" spans="1:8" ht="15">
      <c r="A140" s="556" t="s">
        <v>479</v>
      </c>
      <c r="B140" s="557">
        <f>SUM(B131:B139)</f>
        <v>487</v>
      </c>
      <c r="C140" s="557">
        <f>SUM(C131:C139)</f>
        <v>100</v>
      </c>
      <c r="D140" s="557">
        <f>SUM(D131:D139)</f>
        <v>39</v>
      </c>
      <c r="E140" s="557">
        <f>SUM(E131:E139)</f>
        <v>83</v>
      </c>
      <c r="F140" s="557">
        <f>SUM(F131:F139)</f>
        <v>13</v>
      </c>
      <c r="G140" s="557">
        <f t="shared" si="18"/>
        <v>722</v>
      </c>
      <c r="H140" s="578"/>
    </row>
    <row r="141" spans="2:7" ht="15">
      <c r="B141" s="552"/>
      <c r="C141" s="552"/>
      <c r="D141" s="552"/>
      <c r="E141" s="552"/>
      <c r="F141" s="552"/>
      <c r="G141" s="552"/>
    </row>
    <row r="142" spans="2:7" ht="15">
      <c r="B142" s="552"/>
      <c r="C142" s="552"/>
      <c r="D142" s="552"/>
      <c r="E142" s="552"/>
      <c r="F142" s="552"/>
      <c r="G142" s="552"/>
    </row>
    <row r="143" spans="1:7" ht="15">
      <c r="A143" s="563" t="s">
        <v>480</v>
      </c>
      <c r="B143" s="551"/>
      <c r="C143" s="551"/>
      <c r="D143" s="551"/>
      <c r="E143" s="551"/>
      <c r="F143" s="551"/>
      <c r="G143" s="551"/>
    </row>
    <row r="144" spans="1:7" ht="15">
      <c r="A144" s="563" t="s">
        <v>481</v>
      </c>
      <c r="B144" s="551"/>
      <c r="C144" s="551"/>
      <c r="D144" s="551"/>
      <c r="E144" s="551"/>
      <c r="F144" s="551"/>
      <c r="G144" s="551"/>
    </row>
    <row r="145" spans="1:7" ht="15">
      <c r="A145" s="563"/>
      <c r="B145" s="551"/>
      <c r="C145" s="551"/>
      <c r="D145" s="551"/>
      <c r="E145" s="551"/>
      <c r="F145" s="551"/>
      <c r="G145" s="551"/>
    </row>
    <row r="146" spans="1:7" ht="15">
      <c r="A146" s="563"/>
      <c r="B146" s="551"/>
      <c r="C146" s="551"/>
      <c r="D146" s="551"/>
      <c r="E146" s="551"/>
      <c r="F146" s="551"/>
      <c r="G146" s="551"/>
    </row>
    <row r="147" spans="1:7" ht="15">
      <c r="A147" s="563"/>
      <c r="B147" s="551"/>
      <c r="C147" s="551"/>
      <c r="D147" s="551"/>
      <c r="E147" s="551"/>
      <c r="F147" s="551"/>
      <c r="G147" s="551"/>
    </row>
    <row r="148" spans="1:7" ht="15.75">
      <c r="A148" s="555" t="s">
        <v>482</v>
      </c>
      <c r="B148" s="551"/>
      <c r="C148" s="551"/>
      <c r="D148" s="551"/>
      <c r="E148" s="551"/>
      <c r="F148" s="551"/>
      <c r="G148" s="551"/>
    </row>
    <row r="149" spans="1:7" ht="15">
      <c r="A149" s="563"/>
      <c r="B149" s="551"/>
      <c r="C149" s="551"/>
      <c r="D149" s="551"/>
      <c r="E149" s="551"/>
      <c r="F149" s="551"/>
      <c r="G149" s="551"/>
    </row>
    <row r="150" spans="1:7" ht="15">
      <c r="A150" s="563"/>
      <c r="B150" s="551"/>
      <c r="C150" s="551"/>
      <c r="D150" s="551"/>
      <c r="E150" s="551"/>
      <c r="F150" s="551"/>
      <c r="G150" s="551"/>
    </row>
    <row r="151" spans="1:8" ht="15">
      <c r="A151" s="556" t="s">
        <v>504</v>
      </c>
      <c r="B151" s="557" t="s">
        <v>53</v>
      </c>
      <c r="C151" s="557" t="s">
        <v>71</v>
      </c>
      <c r="D151" s="557" t="s">
        <v>80</v>
      </c>
      <c r="E151" s="557" t="s">
        <v>87</v>
      </c>
      <c r="F151" s="557" t="s">
        <v>330</v>
      </c>
      <c r="G151" s="557" t="s">
        <v>118</v>
      </c>
      <c r="H151" s="578"/>
    </row>
    <row r="152" spans="1:7" ht="15">
      <c r="A152" s="560" t="s">
        <v>505</v>
      </c>
      <c r="B152" s="561">
        <v>286</v>
      </c>
      <c r="C152" s="561">
        <v>212</v>
      </c>
      <c r="D152" s="561">
        <v>224</v>
      </c>
      <c r="E152" s="561">
        <v>135</v>
      </c>
      <c r="F152" s="561">
        <v>41</v>
      </c>
      <c r="G152" s="561">
        <f>SUM(B152:F152)</f>
        <v>898</v>
      </c>
    </row>
    <row r="153" spans="1:7" ht="15">
      <c r="A153" s="560" t="s">
        <v>506</v>
      </c>
      <c r="B153" s="561">
        <v>22</v>
      </c>
      <c r="C153" s="561">
        <v>25</v>
      </c>
      <c r="D153" s="561">
        <v>11</v>
      </c>
      <c r="E153" s="561">
        <v>9</v>
      </c>
      <c r="F153" s="561">
        <v>2</v>
      </c>
      <c r="G153" s="561">
        <f>SUM(B153:F153)</f>
        <v>69</v>
      </c>
    </row>
    <row r="154" spans="1:7" ht="15">
      <c r="A154" s="560" t="s">
        <v>119</v>
      </c>
      <c r="B154" s="561">
        <v>95</v>
      </c>
      <c r="C154" s="561">
        <v>171</v>
      </c>
      <c r="D154" s="561">
        <f>64+2</f>
        <v>66</v>
      </c>
      <c r="E154" s="561">
        <v>63</v>
      </c>
      <c r="F154" s="561">
        <v>5</v>
      </c>
      <c r="G154" s="561">
        <f>SUM(B154:F154)</f>
        <v>400</v>
      </c>
    </row>
    <row r="155" spans="1:7" ht="15">
      <c r="A155" s="563"/>
      <c r="B155" s="551"/>
      <c r="C155" s="551"/>
      <c r="D155" s="551"/>
      <c r="E155" s="551"/>
      <c r="F155" s="551"/>
      <c r="G155" s="551"/>
    </row>
    <row r="156" spans="1:7" ht="15">
      <c r="A156" s="563"/>
      <c r="B156" s="551"/>
      <c r="C156" s="551"/>
      <c r="D156" s="551"/>
      <c r="E156" s="551"/>
      <c r="F156" s="551"/>
      <c r="G156" s="551"/>
    </row>
    <row r="157" spans="1:7" ht="15">
      <c r="A157" s="563"/>
      <c r="B157" s="551"/>
      <c r="C157" s="551"/>
      <c r="D157" s="551"/>
      <c r="E157" s="551"/>
      <c r="F157" s="551"/>
      <c r="G157" s="551"/>
    </row>
    <row r="158" spans="1:7" ht="15">
      <c r="A158" s="563"/>
      <c r="B158" s="551"/>
      <c r="C158" s="551"/>
      <c r="D158" s="551"/>
      <c r="E158" s="551"/>
      <c r="F158" s="551"/>
      <c r="G158" s="551"/>
    </row>
    <row r="159" spans="1:7" ht="15.75">
      <c r="A159" s="579" t="s">
        <v>484</v>
      </c>
      <c r="B159" s="557" t="s">
        <v>53</v>
      </c>
      <c r="C159" s="557" t="s">
        <v>71</v>
      </c>
      <c r="D159" s="557" t="s">
        <v>80</v>
      </c>
      <c r="E159" s="557" t="s">
        <v>87</v>
      </c>
      <c r="F159" s="557" t="s">
        <v>330</v>
      </c>
      <c r="G159" s="557" t="s">
        <v>118</v>
      </c>
    </row>
    <row r="160" spans="1:7" ht="15">
      <c r="A160" s="580" t="s">
        <v>507</v>
      </c>
      <c r="B160" s="581"/>
      <c r="C160" s="581"/>
      <c r="D160" s="581"/>
      <c r="E160" s="581"/>
      <c r="F160" s="582"/>
      <c r="G160" s="583"/>
    </row>
    <row r="161" spans="1:7" ht="15">
      <c r="A161" s="584" t="s">
        <v>508</v>
      </c>
      <c r="B161" s="551">
        <v>66</v>
      </c>
      <c r="C161" s="551">
        <v>6</v>
      </c>
      <c r="D161" s="551">
        <v>2</v>
      </c>
      <c r="E161" s="551">
        <v>6</v>
      </c>
      <c r="F161" s="585">
        <v>5</v>
      </c>
      <c r="G161" s="586">
        <f>SUM(B161:F161)</f>
        <v>85</v>
      </c>
    </row>
    <row r="162" spans="1:7" ht="15">
      <c r="A162" s="584" t="s">
        <v>509</v>
      </c>
      <c r="B162" s="551">
        <v>40</v>
      </c>
      <c r="C162" s="551">
        <v>5</v>
      </c>
      <c r="D162" s="551">
        <v>2</v>
      </c>
      <c r="E162" s="551">
        <v>5</v>
      </c>
      <c r="F162" s="585">
        <v>2</v>
      </c>
      <c r="G162" s="586">
        <f>SUM(B162:F162)</f>
        <v>54</v>
      </c>
    </row>
    <row r="163" spans="1:7" ht="15">
      <c r="A163" s="584" t="s">
        <v>510</v>
      </c>
      <c r="B163" s="551">
        <v>33</v>
      </c>
      <c r="C163" s="551">
        <v>5</v>
      </c>
      <c r="D163" s="551"/>
      <c r="E163" s="551">
        <v>3</v>
      </c>
      <c r="F163" s="585"/>
      <c r="G163" s="586">
        <f>SUM(B163:F163)</f>
        <v>41</v>
      </c>
    </row>
    <row r="164" spans="1:7" ht="15">
      <c r="A164" s="584" t="s">
        <v>511</v>
      </c>
      <c r="B164" s="551">
        <v>72</v>
      </c>
      <c r="C164" s="551">
        <v>6</v>
      </c>
      <c r="D164" s="551">
        <v>2</v>
      </c>
      <c r="E164" s="551">
        <v>6</v>
      </c>
      <c r="F164" s="585">
        <v>5</v>
      </c>
      <c r="G164" s="586">
        <f>SUM(B164:F164)</f>
        <v>91</v>
      </c>
    </row>
    <row r="165" spans="1:7" ht="15">
      <c r="A165" s="587"/>
      <c r="B165" s="588"/>
      <c r="C165" s="588"/>
      <c r="D165" s="588"/>
      <c r="E165" s="588"/>
      <c r="F165" s="589"/>
      <c r="G165" s="590"/>
    </row>
    <row r="166" spans="1:7" ht="15">
      <c r="A166" s="580"/>
      <c r="B166" s="581"/>
      <c r="C166" s="581"/>
      <c r="D166" s="581"/>
      <c r="E166" s="581"/>
      <c r="G166" s="583"/>
    </row>
    <row r="167" spans="1:7" ht="15">
      <c r="A167" s="584" t="s">
        <v>483</v>
      </c>
      <c r="B167" s="551"/>
      <c r="C167" s="551"/>
      <c r="D167" s="551"/>
      <c r="E167" s="551"/>
      <c r="G167" s="586"/>
    </row>
    <row r="168" spans="1:7" ht="15">
      <c r="A168" s="584"/>
      <c r="B168" s="551"/>
      <c r="C168" s="551"/>
      <c r="D168" s="551"/>
      <c r="E168" s="551"/>
      <c r="G168" s="586"/>
    </row>
    <row r="169" spans="1:7" ht="15">
      <c r="A169" s="584" t="s">
        <v>508</v>
      </c>
      <c r="B169" s="551">
        <v>21</v>
      </c>
      <c r="C169" s="551">
        <v>25</v>
      </c>
      <c r="D169" s="551">
        <v>11</v>
      </c>
      <c r="E169" s="551">
        <v>8</v>
      </c>
      <c r="F169" s="551">
        <v>2</v>
      </c>
      <c r="G169" s="586">
        <f>SUM(B169:F169)</f>
        <v>67</v>
      </c>
    </row>
    <row r="170" spans="1:7" ht="15">
      <c r="A170" s="584" t="s">
        <v>509</v>
      </c>
      <c r="B170" s="551">
        <v>3</v>
      </c>
      <c r="C170" s="551">
        <v>10</v>
      </c>
      <c r="D170" s="551">
        <v>1</v>
      </c>
      <c r="E170" s="551">
        <v>1</v>
      </c>
      <c r="F170" s="551"/>
      <c r="G170" s="586">
        <f>SUM(B170:E170)</f>
        <v>15</v>
      </c>
    </row>
    <row r="171" spans="1:7" ht="15">
      <c r="A171" s="584" t="s">
        <v>510</v>
      </c>
      <c r="B171" s="551"/>
      <c r="C171" s="551">
        <v>2</v>
      </c>
      <c r="D171" s="551"/>
      <c r="E171" s="551">
        <v>1</v>
      </c>
      <c r="F171" s="551"/>
      <c r="G171" s="586">
        <f>SUM(B171:E171)</f>
        <v>3</v>
      </c>
    </row>
    <row r="172" spans="1:7" ht="15">
      <c r="A172" s="584" t="s">
        <v>511</v>
      </c>
      <c r="B172" s="551">
        <v>21</v>
      </c>
      <c r="C172" s="551">
        <v>26</v>
      </c>
      <c r="D172" s="551">
        <v>11</v>
      </c>
      <c r="E172" s="551">
        <v>8</v>
      </c>
      <c r="F172" s="551">
        <v>2</v>
      </c>
      <c r="G172" s="586">
        <f>SUM(B172:F172)</f>
        <v>68</v>
      </c>
    </row>
    <row r="173" spans="1:7" ht="15">
      <c r="A173" s="584"/>
      <c r="B173" s="551"/>
      <c r="C173" s="551"/>
      <c r="D173" s="551"/>
      <c r="E173" s="551"/>
      <c r="F173" s="551"/>
      <c r="G173" s="586"/>
    </row>
    <row r="174" spans="1:7" ht="15">
      <c r="A174" s="587"/>
      <c r="B174" s="588"/>
      <c r="C174" s="588"/>
      <c r="D174" s="588"/>
      <c r="E174" s="588"/>
      <c r="F174" s="551"/>
      <c r="G174" s="590"/>
    </row>
    <row r="175" spans="1:8" ht="15.75">
      <c r="A175" s="579" t="s">
        <v>118</v>
      </c>
      <c r="B175" s="591">
        <f>SUM(B161:B172)</f>
        <v>256</v>
      </c>
      <c r="C175" s="591">
        <f>SUM(C161:C173)</f>
        <v>85</v>
      </c>
      <c r="D175" s="591">
        <f>SUM(D161:D172)</f>
        <v>29</v>
      </c>
      <c r="E175" s="591">
        <f>SUM(E161:E172)</f>
        <v>38</v>
      </c>
      <c r="F175" s="591">
        <f>SUM(F161:F172)</f>
        <v>16</v>
      </c>
      <c r="G175" s="591">
        <f>SUM(G161:G172)</f>
        <v>424</v>
      </c>
      <c r="H175" s="578"/>
    </row>
    <row r="176" spans="1:7" ht="15">
      <c r="A176" s="563"/>
      <c r="B176" s="551"/>
      <c r="C176" s="551"/>
      <c r="D176" s="551"/>
      <c r="E176" s="551"/>
      <c r="F176" s="551"/>
      <c r="G176" s="551"/>
    </row>
  </sheetData>
  <mergeCells count="4">
    <mergeCell ref="H15:H16"/>
    <mergeCell ref="H17:H22"/>
    <mergeCell ref="H24:H25"/>
    <mergeCell ref="I24:I28"/>
  </mergeCells>
  <printOptions/>
  <pageMargins left="0.88" right="0.25" top="1.39" bottom="0.66" header="0.35" footer="0"/>
  <pageSetup horizontalDpi="600" verticalDpi="600" orientation="portrait" paperSize="9" scale="67" r:id="rId2"/>
  <headerFooter alignWithMargins="0">
    <oddHeader>&amp;L&amp;G</oddHeader>
  </headerFooter>
  <rowBreaks count="2" manualBreakCount="2">
    <brk id="64" max="8" man="1"/>
    <brk id="11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39"/>
  <sheetViews>
    <sheetView workbookViewId="0" topLeftCell="A1">
      <selection activeCell="A36" sqref="A36:IV36"/>
    </sheetView>
  </sheetViews>
  <sheetFormatPr defaultColWidth="9.140625" defaultRowHeight="12.75"/>
  <cols>
    <col min="1" max="1" width="9.140625" style="112" customWidth="1"/>
    <col min="2" max="2" width="63.421875" style="122" customWidth="1"/>
    <col min="3" max="6" width="15.7109375" style="112" customWidth="1"/>
    <col min="7" max="7" width="16.8515625" style="112" customWidth="1"/>
    <col min="8" max="10" width="15.7109375" style="112" customWidth="1"/>
    <col min="11" max="15" width="12.7109375" style="112" customWidth="1"/>
    <col min="16" max="17" width="15.7109375" style="112" customWidth="1"/>
    <col min="18" max="16384" width="9.140625" style="112" customWidth="1"/>
  </cols>
  <sheetData>
    <row r="4" ht="18">
      <c r="B4" s="131" t="s">
        <v>325</v>
      </c>
    </row>
    <row r="6" spans="2:7" ht="14.25">
      <c r="B6" s="322"/>
      <c r="C6" s="321"/>
      <c r="D6" s="321"/>
      <c r="E6" s="321"/>
      <c r="F6" s="321"/>
      <c r="G6" s="321"/>
    </row>
    <row r="7" spans="2:8" ht="15.75" thickBot="1">
      <c r="B7" s="318" t="s">
        <v>137</v>
      </c>
      <c r="C7" s="319" t="s">
        <v>53</v>
      </c>
      <c r="D7" s="319" t="s">
        <v>71</v>
      </c>
      <c r="E7" s="319" t="s">
        <v>80</v>
      </c>
      <c r="F7" s="319" t="s">
        <v>87</v>
      </c>
      <c r="G7" s="319" t="s">
        <v>92</v>
      </c>
      <c r="H7" s="319" t="s">
        <v>118</v>
      </c>
    </row>
    <row r="8" spans="2:8" ht="14.25">
      <c r="B8" s="113" t="s">
        <v>156</v>
      </c>
      <c r="C8" s="114">
        <v>25</v>
      </c>
      <c r="D8" s="114">
        <v>9</v>
      </c>
      <c r="E8" s="114">
        <v>7</v>
      </c>
      <c r="F8" s="114">
        <v>5</v>
      </c>
      <c r="G8" s="114">
        <v>3</v>
      </c>
      <c r="H8" s="114">
        <f>SUM(C8:G8)</f>
        <v>49</v>
      </c>
    </row>
    <row r="9" spans="2:8" ht="14.25">
      <c r="B9" s="115" t="s">
        <v>157</v>
      </c>
      <c r="C9" s="116">
        <v>311</v>
      </c>
      <c r="D9" s="116">
        <v>221</v>
      </c>
      <c r="E9" s="116">
        <v>231</v>
      </c>
      <c r="F9" s="116">
        <v>140</v>
      </c>
      <c r="G9" s="116">
        <v>44</v>
      </c>
      <c r="H9" s="116">
        <f>SUM(C9:G9)</f>
        <v>947</v>
      </c>
    </row>
    <row r="10" spans="2:8" ht="14.25">
      <c r="B10" s="115" t="s">
        <v>106</v>
      </c>
      <c r="C10" s="116">
        <v>286</v>
      </c>
      <c r="D10" s="116">
        <v>212</v>
      </c>
      <c r="E10" s="116">
        <v>224</v>
      </c>
      <c r="F10" s="116">
        <v>135</v>
      </c>
      <c r="G10" s="116">
        <v>41</v>
      </c>
      <c r="H10" s="116">
        <f>SUM(C10:G10)</f>
        <v>898</v>
      </c>
    </row>
    <row r="11" spans="2:8" ht="14.25">
      <c r="B11" s="117" t="s">
        <v>326</v>
      </c>
      <c r="C11" s="118">
        <f aca="true" t="shared" si="0" ref="C11:H11">C10*100/C9</f>
        <v>91.96141479099678</v>
      </c>
      <c r="D11" s="118">
        <f t="shared" si="0"/>
        <v>95.92760180995475</v>
      </c>
      <c r="E11" s="118">
        <f t="shared" si="0"/>
        <v>96.96969696969697</v>
      </c>
      <c r="F11" s="118">
        <f t="shared" si="0"/>
        <v>96.42857142857143</v>
      </c>
      <c r="G11" s="118">
        <f t="shared" si="0"/>
        <v>93.18181818181819</v>
      </c>
      <c r="H11" s="118">
        <f t="shared" si="0"/>
        <v>94.82576557550158</v>
      </c>
    </row>
    <row r="12" spans="2:8" ht="14.25">
      <c r="B12" s="117" t="s">
        <v>158</v>
      </c>
      <c r="C12" s="119">
        <v>5529099</v>
      </c>
      <c r="D12" s="119">
        <v>756810</v>
      </c>
      <c r="E12" s="119">
        <v>442308</v>
      </c>
      <c r="F12" s="119">
        <f>811401-G12</f>
        <v>619770</v>
      </c>
      <c r="G12" s="119">
        <v>191631</v>
      </c>
      <c r="H12" s="119">
        <f>SUM(C12:G12)</f>
        <v>7539618</v>
      </c>
    </row>
    <row r="13" spans="2:8" ht="14.25">
      <c r="B13" s="117" t="s">
        <v>327</v>
      </c>
      <c r="C13" s="119">
        <v>1835712</v>
      </c>
      <c r="D13" s="119">
        <v>477495</v>
      </c>
      <c r="E13" s="119">
        <v>243000</v>
      </c>
      <c r="F13" s="119">
        <v>327113</v>
      </c>
      <c r="G13" s="119">
        <v>119977</v>
      </c>
      <c r="H13" s="119">
        <f>SUM(C13:G13)</f>
        <v>3003297</v>
      </c>
    </row>
    <row r="14" spans="2:8" ht="14.25">
      <c r="B14" s="117" t="s">
        <v>328</v>
      </c>
      <c r="C14" s="118">
        <f aca="true" t="shared" si="1" ref="C14:H14">C13*100/C12</f>
        <v>33.20092477996867</v>
      </c>
      <c r="D14" s="118">
        <f t="shared" si="1"/>
        <v>63.09311452015697</v>
      </c>
      <c r="E14" s="118">
        <f t="shared" si="1"/>
        <v>54.939092216283676</v>
      </c>
      <c r="F14" s="118">
        <f t="shared" si="1"/>
        <v>52.77974087161366</v>
      </c>
      <c r="G14" s="118">
        <f t="shared" si="1"/>
        <v>62.60834624878021</v>
      </c>
      <c r="H14" s="118">
        <f t="shared" si="1"/>
        <v>39.83354329092004</v>
      </c>
    </row>
    <row r="15" spans="2:8" ht="15" thickBot="1">
      <c r="B15" s="120" t="s">
        <v>329</v>
      </c>
      <c r="C15" s="121">
        <v>6418.573426573426</v>
      </c>
      <c r="D15" s="121">
        <v>2252.3349056603774</v>
      </c>
      <c r="E15" s="121">
        <v>1084.8214285714287</v>
      </c>
      <c r="F15" s="121">
        <v>2423.0592592592593</v>
      </c>
      <c r="G15" s="121">
        <v>2926.268292682927</v>
      </c>
      <c r="H15" s="121">
        <v>3348.1571906354516</v>
      </c>
    </row>
    <row r="17" ht="14.25">
      <c r="B17" s="11"/>
    </row>
    <row r="18" spans="1:11" ht="14.25">
      <c r="A18"/>
      <c r="B18" s="140"/>
      <c r="C18" s="141" t="s">
        <v>53</v>
      </c>
      <c r="D18" s="141" t="s">
        <v>71</v>
      </c>
      <c r="E18" s="141" t="s">
        <v>80</v>
      </c>
      <c r="F18" s="141" t="s">
        <v>87</v>
      </c>
      <c r="G18" s="141" t="s">
        <v>330</v>
      </c>
      <c r="H18"/>
      <c r="I18"/>
      <c r="J18"/>
      <c r="K18"/>
    </row>
    <row r="19" spans="1:11" ht="14.25">
      <c r="A19"/>
      <c r="B19" s="142" t="s">
        <v>331</v>
      </c>
      <c r="C19" s="143">
        <v>1835712</v>
      </c>
      <c r="D19" s="143">
        <v>477495</v>
      </c>
      <c r="E19" s="143">
        <v>243000</v>
      </c>
      <c r="F19" s="143">
        <v>327113</v>
      </c>
      <c r="G19" s="143">
        <v>119977</v>
      </c>
      <c r="H19"/>
      <c r="I19"/>
      <c r="J19"/>
      <c r="K19"/>
    </row>
    <row r="20" spans="1:11" ht="14.25">
      <c r="A20"/>
      <c r="B20" s="142" t="s">
        <v>332</v>
      </c>
      <c r="C20" s="144">
        <v>3693387</v>
      </c>
      <c r="D20" s="144">
        <v>279315</v>
      </c>
      <c r="E20" s="144">
        <v>199308</v>
      </c>
      <c r="F20" s="144">
        <v>292657</v>
      </c>
      <c r="G20" s="144">
        <v>71654</v>
      </c>
      <c r="H20"/>
      <c r="I20"/>
      <c r="J20"/>
      <c r="K20"/>
    </row>
    <row r="21" spans="1:11" ht="14.25">
      <c r="A21"/>
      <c r="B21"/>
      <c r="C21"/>
      <c r="D21"/>
      <c r="E21"/>
      <c r="F21"/>
      <c r="G21"/>
      <c r="H21"/>
      <c r="I21"/>
      <c r="J21"/>
      <c r="K21"/>
    </row>
    <row r="22" spans="1:11" ht="14.25">
      <c r="A22"/>
      <c r="B22"/>
      <c r="C22"/>
      <c r="D22"/>
      <c r="E22"/>
      <c r="F22"/>
      <c r="G22"/>
      <c r="H22"/>
      <c r="I22"/>
      <c r="J22"/>
      <c r="K22"/>
    </row>
    <row r="23" spans="1:11" ht="14.25">
      <c r="A23"/>
      <c r="B23"/>
      <c r="C23"/>
      <c r="D23"/>
      <c r="E23"/>
      <c r="F23"/>
      <c r="G23"/>
      <c r="H23"/>
      <c r="I23"/>
      <c r="J23"/>
      <c r="K23"/>
    </row>
    <row r="24" spans="1:11" ht="14.25">
      <c r="A24"/>
      <c r="B24"/>
      <c r="C24"/>
      <c r="D24"/>
      <c r="E24"/>
      <c r="F24"/>
      <c r="G24"/>
      <c r="H24"/>
      <c r="I24"/>
      <c r="J24"/>
      <c r="K24"/>
    </row>
    <row r="25" spans="1:11" ht="14.25">
      <c r="A25"/>
      <c r="B25"/>
      <c r="C25"/>
      <c r="D25"/>
      <c r="E25"/>
      <c r="F25"/>
      <c r="G25"/>
      <c r="H25"/>
      <c r="I25"/>
      <c r="J25"/>
      <c r="K25"/>
    </row>
    <row r="26" spans="1:11" ht="14.25">
      <c r="A26"/>
      <c r="B26"/>
      <c r="C26"/>
      <c r="D26"/>
      <c r="E26"/>
      <c r="F26"/>
      <c r="G26"/>
      <c r="H26"/>
      <c r="I26"/>
      <c r="J26"/>
      <c r="K26"/>
    </row>
    <row r="27" spans="1:11" ht="14.25">
      <c r="A27"/>
      <c r="B27"/>
      <c r="C27"/>
      <c r="D27"/>
      <c r="E27"/>
      <c r="F27"/>
      <c r="G27"/>
      <c r="H27"/>
      <c r="I27"/>
      <c r="J27"/>
      <c r="K27"/>
    </row>
    <row r="28" spans="1:11" ht="14.25">
      <c r="A28"/>
      <c r="B28"/>
      <c r="C28"/>
      <c r="D28"/>
      <c r="E28"/>
      <c r="F28"/>
      <c r="G28"/>
      <c r="H28"/>
      <c r="I28"/>
      <c r="J28"/>
      <c r="K28"/>
    </row>
    <row r="29" spans="1:11" ht="14.25">
      <c r="A29"/>
      <c r="B29"/>
      <c r="C29"/>
      <c r="D29"/>
      <c r="E29"/>
      <c r="F29"/>
      <c r="G29"/>
      <c r="H29"/>
      <c r="I29"/>
      <c r="J29"/>
      <c r="K29"/>
    </row>
    <row r="30" spans="1:11" ht="14.25">
      <c r="A30"/>
      <c r="B30"/>
      <c r="C30"/>
      <c r="D30"/>
      <c r="E30"/>
      <c r="F30"/>
      <c r="G30"/>
      <c r="H30"/>
      <c r="I30"/>
      <c r="J30"/>
      <c r="K30"/>
    </row>
    <row r="31" spans="1:11" ht="14.25">
      <c r="A31"/>
      <c r="B31"/>
      <c r="C31"/>
      <c r="D31"/>
      <c r="E31"/>
      <c r="F31"/>
      <c r="G31"/>
      <c r="H31"/>
      <c r="I31"/>
      <c r="J31"/>
      <c r="K31"/>
    </row>
    <row r="32" spans="1:11" ht="14.25">
      <c r="A32"/>
      <c r="B32"/>
      <c r="C32"/>
      <c r="D32"/>
      <c r="E32"/>
      <c r="F32"/>
      <c r="G32"/>
      <c r="H32"/>
      <c r="I32"/>
      <c r="J32"/>
      <c r="K32"/>
    </row>
    <row r="33" spans="1:11" ht="14.25">
      <c r="A33"/>
      <c r="B33"/>
      <c r="C33"/>
      <c r="D33"/>
      <c r="E33"/>
      <c r="F33"/>
      <c r="G33"/>
      <c r="H33"/>
      <c r="I33"/>
      <c r="J33"/>
      <c r="K33"/>
    </row>
    <row r="34" spans="1:11" ht="14.25">
      <c r="A34"/>
      <c r="B34"/>
      <c r="C34"/>
      <c r="D34"/>
      <c r="E34"/>
      <c r="F34"/>
      <c r="G34"/>
      <c r="H34"/>
      <c r="I34"/>
      <c r="J34"/>
      <c r="K34"/>
    </row>
    <row r="35" spans="1:11" ht="14.25">
      <c r="A35"/>
      <c r="B35"/>
      <c r="C35"/>
      <c r="D35"/>
      <c r="E35"/>
      <c r="F35"/>
      <c r="G35"/>
      <c r="H35"/>
      <c r="I35"/>
      <c r="J35"/>
      <c r="K35"/>
    </row>
    <row r="36" spans="1:11" ht="14.25">
      <c r="A36"/>
      <c r="B36"/>
      <c r="C36"/>
      <c r="D36"/>
      <c r="E36"/>
      <c r="F36"/>
      <c r="G36"/>
      <c r="H36"/>
      <c r="I36"/>
      <c r="J36"/>
      <c r="K36"/>
    </row>
    <row r="37" spans="1:11" ht="14.25">
      <c r="A37"/>
      <c r="B37"/>
      <c r="C37"/>
      <c r="D37"/>
      <c r="E37"/>
      <c r="F37"/>
      <c r="G37"/>
      <c r="H37"/>
      <c r="I37"/>
      <c r="J37"/>
      <c r="K37"/>
    </row>
    <row r="38" spans="2:9" ht="18">
      <c r="B38" s="70" t="s">
        <v>333</v>
      </c>
      <c r="C38" s="321"/>
      <c r="D38" s="321"/>
      <c r="E38" s="321"/>
      <c r="F38" s="321"/>
      <c r="G38" s="321"/>
      <c r="H38" s="321"/>
      <c r="I38" s="321"/>
    </row>
    <row r="39" spans="2:9" ht="14.25">
      <c r="B39" s="322"/>
      <c r="C39" s="321"/>
      <c r="D39" s="321"/>
      <c r="E39" s="321"/>
      <c r="F39" s="321"/>
      <c r="G39" s="321"/>
      <c r="H39" s="321"/>
      <c r="I39" s="321"/>
    </row>
    <row r="40" spans="2:9" ht="15.75" thickBot="1">
      <c r="B40" s="341"/>
      <c r="C40" s="319" t="s">
        <v>138</v>
      </c>
      <c r="D40" s="319" t="s">
        <v>139</v>
      </c>
      <c r="E40" s="319" t="s">
        <v>118</v>
      </c>
      <c r="F40" s="321"/>
      <c r="G40" s="321"/>
      <c r="H40" s="321"/>
      <c r="I40" s="321"/>
    </row>
    <row r="41" spans="2:9" ht="14.25">
      <c r="B41" s="113" t="s">
        <v>159</v>
      </c>
      <c r="C41" s="113">
        <v>116</v>
      </c>
      <c r="D41" s="113">
        <v>782</v>
      </c>
      <c r="E41" s="113">
        <f>SUM(C41:D41)</f>
        <v>898</v>
      </c>
      <c r="F41" s="321"/>
      <c r="G41" s="321"/>
      <c r="H41" s="321"/>
      <c r="I41" s="321"/>
    </row>
    <row r="42" spans="2:9" ht="14.25">
      <c r="B42" s="117" t="s">
        <v>334</v>
      </c>
      <c r="C42" s="123">
        <f>C41*100/E41</f>
        <v>12.917594654788418</v>
      </c>
      <c r="D42" s="123">
        <f>D41*100/E41</f>
        <v>87.08240534521158</v>
      </c>
      <c r="E42" s="117"/>
      <c r="F42" s="321"/>
      <c r="G42" s="321"/>
      <c r="H42" s="321"/>
      <c r="I42" s="321"/>
    </row>
    <row r="43" spans="2:9" ht="14.25">
      <c r="B43" s="117" t="s">
        <v>335</v>
      </c>
      <c r="C43" s="124">
        <v>1945814</v>
      </c>
      <c r="D43" s="124">
        <v>1057483</v>
      </c>
      <c r="E43" s="124">
        <f>SUM(C43:D43)</f>
        <v>3003297</v>
      </c>
      <c r="F43" s="321"/>
      <c r="G43" s="321"/>
      <c r="H43" s="321"/>
      <c r="I43" s="321"/>
    </row>
    <row r="44" spans="2:9" ht="15" thickBot="1">
      <c r="B44" s="120" t="s">
        <v>336</v>
      </c>
      <c r="C44" s="125">
        <f>C43*100/E43</f>
        <v>64.78926326633696</v>
      </c>
      <c r="D44" s="125">
        <f>D43*100/E43</f>
        <v>35.21073673366304</v>
      </c>
      <c r="E44" s="120"/>
      <c r="F44" s="321"/>
      <c r="G44" s="321"/>
      <c r="H44" s="321"/>
      <c r="I44" s="321"/>
    </row>
    <row r="45" spans="2:9" ht="14.25">
      <c r="B45" s="322"/>
      <c r="C45" s="321"/>
      <c r="D45" s="321"/>
      <c r="E45" s="321"/>
      <c r="F45" s="321"/>
      <c r="G45" s="321"/>
      <c r="H45" s="321"/>
      <c r="I45" s="321"/>
    </row>
    <row r="46" spans="2:9" ht="14.25">
      <c r="B46" s="322"/>
      <c r="C46" s="321"/>
      <c r="D46" s="321"/>
      <c r="E46" s="321"/>
      <c r="F46" s="321"/>
      <c r="G46" s="321"/>
      <c r="H46" s="321"/>
      <c r="I46" s="321"/>
    </row>
    <row r="47" spans="2:9" ht="18">
      <c r="B47" s="70" t="s">
        <v>337</v>
      </c>
      <c r="C47" s="321"/>
      <c r="D47" s="321"/>
      <c r="E47" s="321"/>
      <c r="F47" s="321"/>
      <c r="G47" s="321"/>
      <c r="H47" s="321"/>
      <c r="I47" s="321"/>
    </row>
    <row r="48" spans="2:9" ht="14.25">
      <c r="B48" s="322"/>
      <c r="C48" s="321"/>
      <c r="D48" s="321"/>
      <c r="E48" s="321"/>
      <c r="F48" s="321"/>
      <c r="G48" s="321"/>
      <c r="H48" s="321"/>
      <c r="I48" s="321"/>
    </row>
    <row r="49" spans="2:9" ht="15.75" thickBot="1">
      <c r="B49" s="318" t="s">
        <v>338</v>
      </c>
      <c r="C49" s="329" t="s">
        <v>53</v>
      </c>
      <c r="D49" s="329" t="s">
        <v>71</v>
      </c>
      <c r="E49" s="329" t="s">
        <v>140</v>
      </c>
      <c r="F49" s="329" t="s">
        <v>87</v>
      </c>
      <c r="G49" s="329" t="s">
        <v>330</v>
      </c>
      <c r="H49" s="329" t="s">
        <v>118</v>
      </c>
      <c r="I49" s="321"/>
    </row>
    <row r="50" spans="2:9" ht="14.25">
      <c r="B50" s="358" t="s">
        <v>339</v>
      </c>
      <c r="C50" s="147">
        <v>286</v>
      </c>
      <c r="D50" s="147">
        <v>212</v>
      </c>
      <c r="E50" s="147">
        <v>224</v>
      </c>
      <c r="F50" s="147">
        <v>134</v>
      </c>
      <c r="G50" s="147">
        <v>41</v>
      </c>
      <c r="H50" s="147">
        <v>897</v>
      </c>
      <c r="I50" s="321"/>
    </row>
    <row r="51" spans="2:9" ht="15" thickBot="1">
      <c r="B51" s="359" t="s">
        <v>340</v>
      </c>
      <c r="C51" s="150">
        <v>22</v>
      </c>
      <c r="D51" s="150">
        <v>20</v>
      </c>
      <c r="E51" s="150">
        <v>8</v>
      </c>
      <c r="F51" s="150">
        <v>5</v>
      </c>
      <c r="G51" s="150">
        <v>1</v>
      </c>
      <c r="H51" s="150">
        <v>56</v>
      </c>
      <c r="I51" s="321"/>
    </row>
    <row r="52" spans="2:9" ht="14.25">
      <c r="B52" s="322"/>
      <c r="C52" s="321"/>
      <c r="D52" s="321"/>
      <c r="E52" s="321"/>
      <c r="F52" s="321"/>
      <c r="G52" s="321"/>
      <c r="H52" s="321"/>
      <c r="I52" s="321"/>
    </row>
    <row r="53" spans="2:9" ht="14.25">
      <c r="B53" s="322"/>
      <c r="C53" s="321"/>
      <c r="D53" s="321"/>
      <c r="E53" s="321"/>
      <c r="F53" s="321"/>
      <c r="G53" s="321"/>
      <c r="H53" s="321"/>
      <c r="I53" s="321"/>
    </row>
    <row r="54" spans="2:9" ht="14.25">
      <c r="B54" s="322"/>
      <c r="C54" s="321"/>
      <c r="D54" s="321"/>
      <c r="E54" s="321"/>
      <c r="F54" s="321"/>
      <c r="G54" s="321"/>
      <c r="H54" s="321"/>
      <c r="I54" s="321"/>
    </row>
    <row r="55" spans="2:9" ht="18">
      <c r="B55" s="70" t="s">
        <v>324</v>
      </c>
      <c r="C55" s="321"/>
      <c r="D55" s="321"/>
      <c r="E55" s="321"/>
      <c r="F55" s="321"/>
      <c r="G55" s="321"/>
      <c r="H55" s="321"/>
      <c r="I55" s="321"/>
    </row>
    <row r="57" spans="2:8" ht="15.75" thickBot="1">
      <c r="B57" s="318" t="s">
        <v>141</v>
      </c>
      <c r="C57" s="319" t="s">
        <v>53</v>
      </c>
      <c r="D57" s="319" t="s">
        <v>71</v>
      </c>
      <c r="E57" s="319" t="s">
        <v>80</v>
      </c>
      <c r="F57" s="319" t="s">
        <v>87</v>
      </c>
      <c r="G57" s="316" t="s">
        <v>160</v>
      </c>
      <c r="H57" s="319" t="s">
        <v>118</v>
      </c>
    </row>
    <row r="58" spans="2:8" ht="14.25">
      <c r="B58" s="113" t="s">
        <v>142</v>
      </c>
      <c r="C58" s="132">
        <v>87</v>
      </c>
      <c r="D58" s="132">
        <v>30</v>
      </c>
      <c r="E58" s="132">
        <v>12</v>
      </c>
      <c r="F58" s="132">
        <v>14</v>
      </c>
      <c r="G58" s="132">
        <v>7</v>
      </c>
      <c r="H58" s="132">
        <f>SUM(C58:G58)</f>
        <v>150</v>
      </c>
    </row>
    <row r="59" spans="2:8" ht="14.25">
      <c r="B59" s="115" t="s">
        <v>143</v>
      </c>
      <c r="C59" s="115">
        <v>43</v>
      </c>
      <c r="D59" s="115">
        <v>16</v>
      </c>
      <c r="E59" s="115">
        <v>3</v>
      </c>
      <c r="F59" s="115">
        <v>6</v>
      </c>
      <c r="G59" s="115">
        <v>2</v>
      </c>
      <c r="H59" s="115">
        <f>SUM(C59:G59)</f>
        <v>70</v>
      </c>
    </row>
    <row r="60" spans="2:8" ht="14.25">
      <c r="B60" s="115" t="s">
        <v>144</v>
      </c>
      <c r="C60" s="115">
        <v>33</v>
      </c>
      <c r="D60" s="115">
        <v>9</v>
      </c>
      <c r="E60" s="115">
        <v>0</v>
      </c>
      <c r="F60" s="115">
        <v>4</v>
      </c>
      <c r="G60" s="115">
        <v>0</v>
      </c>
      <c r="H60" s="115">
        <f>SUM(C60:G60)</f>
        <v>46</v>
      </c>
    </row>
    <row r="61" spans="2:8" ht="15" thickBot="1">
      <c r="B61" s="133" t="s">
        <v>145</v>
      </c>
      <c r="C61" s="133">
        <v>93</v>
      </c>
      <c r="D61" s="133">
        <v>31</v>
      </c>
      <c r="E61" s="133">
        <v>12</v>
      </c>
      <c r="F61" s="133">
        <v>14</v>
      </c>
      <c r="G61" s="133">
        <v>7</v>
      </c>
      <c r="H61" s="133">
        <f>SUM(C61:G61)</f>
        <v>157</v>
      </c>
    </row>
    <row r="62" spans="2:8" ht="15">
      <c r="B62" s="320" t="s">
        <v>12</v>
      </c>
      <c r="C62" s="318">
        <f aca="true" t="shared" si="2" ref="C62:H62">SUM(C58:C61)</f>
        <v>256</v>
      </c>
      <c r="D62" s="318">
        <f t="shared" si="2"/>
        <v>86</v>
      </c>
      <c r="E62" s="318">
        <f t="shared" si="2"/>
        <v>27</v>
      </c>
      <c r="F62" s="318">
        <f t="shared" si="2"/>
        <v>38</v>
      </c>
      <c r="G62" s="318">
        <f t="shared" si="2"/>
        <v>16</v>
      </c>
      <c r="H62" s="318">
        <f t="shared" si="2"/>
        <v>423</v>
      </c>
    </row>
    <row r="65" spans="2:7" ht="18">
      <c r="B65" s="70" t="s">
        <v>341</v>
      </c>
      <c r="C65" s="321"/>
      <c r="D65" s="321"/>
      <c r="E65" s="321"/>
      <c r="F65" s="321"/>
      <c r="G65" s="321"/>
    </row>
    <row r="66" spans="2:7" ht="14.25">
      <c r="B66" s="322"/>
      <c r="C66" s="321"/>
      <c r="D66" s="321"/>
      <c r="E66" s="321"/>
      <c r="F66" s="321"/>
      <c r="G66" s="321"/>
    </row>
    <row r="67" spans="2:7" ht="15.75" thickBot="1">
      <c r="B67" s="323"/>
      <c r="C67" s="324" t="s">
        <v>40</v>
      </c>
      <c r="D67" s="324" t="s">
        <v>39</v>
      </c>
      <c r="E67" s="321"/>
      <c r="F67" s="321"/>
      <c r="G67" s="321"/>
    </row>
    <row r="68" spans="2:7" ht="14.25">
      <c r="B68" s="147" t="s">
        <v>53</v>
      </c>
      <c r="C68" s="325">
        <v>105891</v>
      </c>
      <c r="D68" s="325">
        <v>106814</v>
      </c>
      <c r="E68" s="321"/>
      <c r="F68" s="321"/>
      <c r="G68" s="321"/>
    </row>
    <row r="69" spans="2:7" ht="14.25">
      <c r="B69" s="155" t="s">
        <v>71</v>
      </c>
      <c r="C69" s="326">
        <v>32082</v>
      </c>
      <c r="D69" s="326">
        <v>30140</v>
      </c>
      <c r="E69" s="321"/>
      <c r="F69" s="321"/>
      <c r="G69" s="321"/>
    </row>
    <row r="70" spans="2:7" ht="14.25">
      <c r="B70" s="155" t="s">
        <v>80</v>
      </c>
      <c r="C70" s="326">
        <v>15950</v>
      </c>
      <c r="D70" s="326">
        <v>19973</v>
      </c>
      <c r="E70" s="321"/>
      <c r="F70" s="321"/>
      <c r="G70" s="321"/>
    </row>
    <row r="71" spans="2:7" ht="14.25">
      <c r="B71" s="155" t="s">
        <v>87</v>
      </c>
      <c r="C71" s="326">
        <v>23782</v>
      </c>
      <c r="D71" s="326">
        <v>22187</v>
      </c>
      <c r="E71" s="321"/>
      <c r="F71" s="321"/>
      <c r="G71" s="321"/>
    </row>
    <row r="72" spans="2:7" ht="15" thickBot="1">
      <c r="B72" s="150" t="s">
        <v>92</v>
      </c>
      <c r="C72" s="327">
        <v>7429</v>
      </c>
      <c r="D72" s="327">
        <v>6143</v>
      </c>
      <c r="E72" s="321"/>
      <c r="F72" s="321"/>
      <c r="G72" s="321"/>
    </row>
    <row r="73" spans="2:7" ht="15">
      <c r="B73" s="323"/>
      <c r="C73" s="328">
        <v>185134</v>
      </c>
      <c r="D73" s="328">
        <v>185257</v>
      </c>
      <c r="E73" s="321"/>
      <c r="F73" s="321"/>
      <c r="G73" s="321"/>
    </row>
    <row r="74" spans="2:7" ht="14.25">
      <c r="B74" s="322"/>
      <c r="C74" s="321"/>
      <c r="D74" s="321"/>
      <c r="E74" s="321"/>
      <c r="F74" s="321"/>
      <c r="G74" s="321"/>
    </row>
    <row r="75" spans="2:7" ht="14.25">
      <c r="B75" s="322"/>
      <c r="C75" s="321"/>
      <c r="D75" s="321"/>
      <c r="E75" s="321"/>
      <c r="F75" s="321"/>
      <c r="G75" s="321"/>
    </row>
    <row r="76" spans="2:7" ht="18">
      <c r="B76" s="70" t="s">
        <v>342</v>
      </c>
      <c r="C76" s="321"/>
      <c r="D76" s="321"/>
      <c r="E76" s="321"/>
      <c r="F76" s="321"/>
      <c r="G76" s="321"/>
    </row>
    <row r="77" spans="2:7" ht="14.25">
      <c r="B77" s="322"/>
      <c r="C77" s="321"/>
      <c r="D77" s="321"/>
      <c r="E77" s="321"/>
      <c r="F77" s="321"/>
      <c r="G77" s="321"/>
    </row>
    <row r="78" spans="2:7" ht="14.25">
      <c r="B78" s="322"/>
      <c r="C78" s="321"/>
      <c r="D78" s="321"/>
      <c r="E78" s="321"/>
      <c r="F78" s="321"/>
      <c r="G78" s="321"/>
    </row>
    <row r="79" spans="2:7" ht="15.75" thickBot="1">
      <c r="B79" s="317"/>
      <c r="C79" s="329" t="s">
        <v>150</v>
      </c>
      <c r="D79" s="329" t="s">
        <v>161</v>
      </c>
      <c r="E79" s="329" t="s">
        <v>118</v>
      </c>
      <c r="F79" s="321"/>
      <c r="G79" s="321"/>
    </row>
    <row r="80" spans="2:7" ht="14.25">
      <c r="B80" s="147" t="s">
        <v>53</v>
      </c>
      <c r="C80" s="148">
        <v>25504</v>
      </c>
      <c r="D80" s="148">
        <v>95570</v>
      </c>
      <c r="E80" s="148">
        <v>121074</v>
      </c>
      <c r="F80" s="321"/>
      <c r="G80" s="321"/>
    </row>
    <row r="81" spans="2:7" ht="14.25">
      <c r="B81" s="155" t="s">
        <v>71</v>
      </c>
      <c r="C81" s="157">
        <v>14573</v>
      </c>
      <c r="D81" s="157">
        <v>35098</v>
      </c>
      <c r="E81" s="157">
        <v>49671</v>
      </c>
      <c r="F81" s="321"/>
      <c r="G81" s="321"/>
    </row>
    <row r="82" spans="2:7" ht="14.25">
      <c r="B82" s="155" t="s">
        <v>80</v>
      </c>
      <c r="C82" s="157">
        <v>3702</v>
      </c>
      <c r="D82" s="157">
        <v>20614</v>
      </c>
      <c r="E82" s="157">
        <v>24316</v>
      </c>
      <c r="F82" s="321"/>
      <c r="G82" s="321"/>
    </row>
    <row r="83" spans="2:7" ht="14.25">
      <c r="B83" s="155" t="s">
        <v>87</v>
      </c>
      <c r="C83" s="157">
        <v>5935</v>
      </c>
      <c r="D83" s="157">
        <v>27805</v>
      </c>
      <c r="E83" s="157">
        <v>33740</v>
      </c>
      <c r="F83" s="321"/>
      <c r="G83" s="321"/>
    </row>
    <row r="84" spans="2:7" ht="15" thickBot="1">
      <c r="B84" s="150" t="s">
        <v>92</v>
      </c>
      <c r="C84" s="153">
        <v>1420</v>
      </c>
      <c r="D84" s="153">
        <v>7161</v>
      </c>
      <c r="E84" s="153">
        <v>8581</v>
      </c>
      <c r="F84" s="321"/>
      <c r="G84" s="321"/>
    </row>
    <row r="85" spans="2:7" ht="15">
      <c r="B85" s="317" t="s">
        <v>12</v>
      </c>
      <c r="C85" s="330">
        <v>51134</v>
      </c>
      <c r="D85" s="330">
        <v>186248</v>
      </c>
      <c r="E85" s="330">
        <v>237382</v>
      </c>
      <c r="F85" s="321"/>
      <c r="G85" s="321"/>
    </row>
    <row r="86" spans="2:7" ht="14.25">
      <c r="B86" s="322"/>
      <c r="C86" s="321"/>
      <c r="D86" s="321"/>
      <c r="E86" s="321"/>
      <c r="F86" s="321"/>
      <c r="G86" s="321"/>
    </row>
    <row r="87" spans="2:7" ht="14.25">
      <c r="B87" s="322"/>
      <c r="C87" s="321"/>
      <c r="D87" s="321"/>
      <c r="E87" s="321"/>
      <c r="F87" s="321"/>
      <c r="G87" s="321"/>
    </row>
    <row r="88" spans="2:7" ht="18">
      <c r="B88" s="70" t="s">
        <v>343</v>
      </c>
      <c r="C88" s="321"/>
      <c r="D88" s="321"/>
      <c r="E88" s="321"/>
      <c r="F88" s="321"/>
      <c r="G88" s="321"/>
    </row>
    <row r="89" spans="2:7" ht="14.25">
      <c r="B89" s="322"/>
      <c r="C89" s="321"/>
      <c r="D89" s="321"/>
      <c r="E89" s="321"/>
      <c r="F89" s="321"/>
      <c r="G89" s="321"/>
    </row>
    <row r="90" spans="2:8" ht="14.25">
      <c r="B90" s="331"/>
      <c r="C90" s="332" t="s">
        <v>53</v>
      </c>
      <c r="D90" s="332" t="s">
        <v>71</v>
      </c>
      <c r="E90" s="332" t="s">
        <v>80</v>
      </c>
      <c r="F90" s="332" t="s">
        <v>87</v>
      </c>
      <c r="G90" s="332" t="s">
        <v>146</v>
      </c>
      <c r="H90" s="332" t="s">
        <v>147</v>
      </c>
    </row>
    <row r="91" spans="2:8" ht="15" thickBot="1">
      <c r="B91" s="333" t="s">
        <v>150</v>
      </c>
      <c r="C91" s="334"/>
      <c r="D91" s="334"/>
      <c r="E91" s="334"/>
      <c r="F91" s="334"/>
      <c r="G91" s="334"/>
      <c r="H91" s="334"/>
    </row>
    <row r="92" spans="2:8" ht="14.25">
      <c r="B92" s="137" t="s">
        <v>151</v>
      </c>
      <c r="C92" s="138">
        <v>23513</v>
      </c>
      <c r="D92" s="138">
        <v>5425</v>
      </c>
      <c r="E92" s="138">
        <v>2913</v>
      </c>
      <c r="F92" s="138">
        <v>3574</v>
      </c>
      <c r="G92" s="138">
        <v>1309</v>
      </c>
      <c r="H92" s="138">
        <v>36734</v>
      </c>
    </row>
    <row r="93" spans="2:8" ht="14.25">
      <c r="B93" s="108" t="s">
        <v>152</v>
      </c>
      <c r="C93" s="110">
        <v>15606</v>
      </c>
      <c r="D93" s="110">
        <v>3035</v>
      </c>
      <c r="E93" s="110">
        <v>1556</v>
      </c>
      <c r="F93" s="110">
        <v>2292</v>
      </c>
      <c r="G93" s="111">
        <v>763</v>
      </c>
      <c r="H93" s="110">
        <v>23252</v>
      </c>
    </row>
    <row r="94" spans="2:8" ht="14.25">
      <c r="B94" s="134" t="s">
        <v>153</v>
      </c>
      <c r="C94" s="135">
        <v>8010</v>
      </c>
      <c r="D94" s="135">
        <v>2315</v>
      </c>
      <c r="E94" s="135">
        <v>1331</v>
      </c>
      <c r="F94" s="135">
        <v>1114</v>
      </c>
      <c r="G94" s="136">
        <v>681</v>
      </c>
      <c r="H94" s="135">
        <v>13451</v>
      </c>
    </row>
    <row r="95" spans="2:8" ht="15" thickBot="1">
      <c r="B95" s="335" t="s">
        <v>344</v>
      </c>
      <c r="C95" s="336">
        <v>47129</v>
      </c>
      <c r="D95" s="336">
        <v>10775</v>
      </c>
      <c r="E95" s="336">
        <v>5800</v>
      </c>
      <c r="F95" s="336">
        <v>6980</v>
      </c>
      <c r="G95" s="336">
        <v>2753</v>
      </c>
      <c r="H95" s="336">
        <v>73437</v>
      </c>
    </row>
    <row r="96" spans="2:8" ht="15.75" thickBot="1" thickTop="1">
      <c r="B96" s="337" t="s">
        <v>154</v>
      </c>
      <c r="C96" s="338"/>
      <c r="D96" s="338"/>
      <c r="E96" s="338"/>
      <c r="F96" s="338"/>
      <c r="G96" s="338"/>
      <c r="H96" s="338"/>
    </row>
    <row r="97" spans="2:8" ht="14.25">
      <c r="B97" s="137" t="s">
        <v>151</v>
      </c>
      <c r="C97" s="138">
        <v>13688</v>
      </c>
      <c r="D97" s="138">
        <v>3279</v>
      </c>
      <c r="E97" s="138">
        <v>1927</v>
      </c>
      <c r="F97" s="138">
        <v>2326</v>
      </c>
      <c r="G97" s="138">
        <v>1024</v>
      </c>
      <c r="H97" s="138">
        <v>22244</v>
      </c>
    </row>
    <row r="98" spans="2:8" ht="14.25">
      <c r="B98" s="108" t="s">
        <v>152</v>
      </c>
      <c r="C98" s="110">
        <v>4154</v>
      </c>
      <c r="D98" s="110">
        <v>817</v>
      </c>
      <c r="E98" s="110">
        <v>346</v>
      </c>
      <c r="F98" s="110">
        <v>727</v>
      </c>
      <c r="G98" s="111">
        <v>294</v>
      </c>
      <c r="H98" s="110">
        <v>6338</v>
      </c>
    </row>
    <row r="99" spans="2:8" ht="14.25">
      <c r="B99" s="108" t="s">
        <v>153</v>
      </c>
      <c r="C99" s="110">
        <v>13108</v>
      </c>
      <c r="D99" s="110">
        <v>3762</v>
      </c>
      <c r="E99" s="110">
        <v>2551</v>
      </c>
      <c r="F99" s="110">
        <v>2175</v>
      </c>
      <c r="G99" s="111">
        <v>1513</v>
      </c>
      <c r="H99" s="110">
        <v>23109</v>
      </c>
    </row>
    <row r="100" spans="2:8" ht="15" thickBot="1">
      <c r="B100" s="339" t="s">
        <v>345</v>
      </c>
      <c r="C100" s="340">
        <v>30950</v>
      </c>
      <c r="D100" s="340">
        <v>7858</v>
      </c>
      <c r="E100" s="340">
        <v>4824</v>
      </c>
      <c r="F100" s="340">
        <v>5228</v>
      </c>
      <c r="G100" s="340">
        <v>2831</v>
      </c>
      <c r="H100" s="340">
        <v>51691</v>
      </c>
    </row>
    <row r="101" spans="2:8" ht="14.25">
      <c r="B101" s="341" t="s">
        <v>346</v>
      </c>
      <c r="C101" s="342">
        <f aca="true" t="shared" si="3" ref="C101:H101">SUM(C92:C94)+SUM(C97:C99)</f>
        <v>78079</v>
      </c>
      <c r="D101" s="342">
        <f t="shared" si="3"/>
        <v>18633</v>
      </c>
      <c r="E101" s="342">
        <f t="shared" si="3"/>
        <v>10624</v>
      </c>
      <c r="F101" s="342">
        <f t="shared" si="3"/>
        <v>12208</v>
      </c>
      <c r="G101" s="342">
        <f t="shared" si="3"/>
        <v>5584</v>
      </c>
      <c r="H101" s="342">
        <f t="shared" si="3"/>
        <v>125128</v>
      </c>
    </row>
    <row r="102" spans="2:7" ht="14.25">
      <c r="B102" s="322"/>
      <c r="C102" s="321"/>
      <c r="D102" s="321"/>
      <c r="E102" s="321"/>
      <c r="F102" s="321"/>
      <c r="G102" s="321"/>
    </row>
    <row r="103" spans="2:7" ht="14.25">
      <c r="B103" s="322"/>
      <c r="C103" s="321"/>
      <c r="D103" s="321"/>
      <c r="E103" s="321"/>
      <c r="F103" s="321"/>
      <c r="G103" s="321"/>
    </row>
    <row r="104" spans="2:7" ht="18">
      <c r="B104" s="70" t="s">
        <v>347</v>
      </c>
      <c r="C104" s="321"/>
      <c r="D104" s="321"/>
      <c r="E104" s="321"/>
      <c r="F104" s="321"/>
      <c r="G104" s="321"/>
    </row>
    <row r="105" spans="2:7" ht="14.25">
      <c r="B105" s="322"/>
      <c r="C105" s="321"/>
      <c r="D105" s="321"/>
      <c r="E105" s="321"/>
      <c r="F105" s="321"/>
      <c r="G105" s="321"/>
    </row>
    <row r="106" spans="2:7" ht="15.75" thickBot="1">
      <c r="B106" s="343" t="s">
        <v>321</v>
      </c>
      <c r="C106" s="344" t="s">
        <v>348</v>
      </c>
      <c r="D106" s="344" t="s">
        <v>349</v>
      </c>
      <c r="E106" s="344" t="s">
        <v>350</v>
      </c>
      <c r="F106" s="344" t="s">
        <v>155</v>
      </c>
      <c r="G106" s="321"/>
    </row>
    <row r="107" spans="2:7" ht="14.25">
      <c r="B107" s="345" t="s">
        <v>53</v>
      </c>
      <c r="C107" s="346">
        <v>286</v>
      </c>
      <c r="D107" s="347">
        <v>903600</v>
      </c>
      <c r="E107" s="347">
        <v>892400</v>
      </c>
      <c r="F107" s="348">
        <v>0.9876051350154936</v>
      </c>
      <c r="G107" s="321"/>
    </row>
    <row r="108" spans="2:7" ht="14.25">
      <c r="B108" s="349" t="s">
        <v>71</v>
      </c>
      <c r="C108" s="155">
        <v>212</v>
      </c>
      <c r="D108" s="350">
        <v>375950</v>
      </c>
      <c r="E108" s="350">
        <v>360350</v>
      </c>
      <c r="F108" s="351">
        <v>0.9585051203617503</v>
      </c>
      <c r="G108" s="321"/>
    </row>
    <row r="109" spans="2:7" ht="14.25">
      <c r="B109" s="349" t="s">
        <v>80</v>
      </c>
      <c r="C109" s="155">
        <v>224</v>
      </c>
      <c r="D109" s="350">
        <v>297600</v>
      </c>
      <c r="E109" s="350">
        <v>287600</v>
      </c>
      <c r="F109" s="351">
        <v>0.9663978494623656</v>
      </c>
      <c r="G109" s="321"/>
    </row>
    <row r="110" spans="2:7" ht="14.25">
      <c r="B110" s="349" t="s">
        <v>87</v>
      </c>
      <c r="C110" s="155">
        <v>135</v>
      </c>
      <c r="D110" s="350">
        <v>247950</v>
      </c>
      <c r="E110" s="350">
        <v>231500</v>
      </c>
      <c r="F110" s="351">
        <v>0.9336559790280299</v>
      </c>
      <c r="G110" s="321"/>
    </row>
    <row r="111" spans="2:7" ht="15" thickBot="1">
      <c r="B111" s="352" t="s">
        <v>92</v>
      </c>
      <c r="C111" s="150">
        <v>41</v>
      </c>
      <c r="D111" s="151">
        <v>97800</v>
      </c>
      <c r="E111" s="151">
        <v>94950</v>
      </c>
      <c r="F111" s="353">
        <v>0.9708588957055214</v>
      </c>
      <c r="G111" s="321"/>
    </row>
    <row r="112" spans="2:7" ht="15">
      <c r="B112" s="354" t="s">
        <v>12</v>
      </c>
      <c r="C112" s="355">
        <v>898</v>
      </c>
      <c r="D112" s="356">
        <v>1922900</v>
      </c>
      <c r="E112" s="356">
        <v>1866800</v>
      </c>
      <c r="F112" s="357">
        <v>0.9708253159290655</v>
      </c>
      <c r="G112" s="321"/>
    </row>
    <row r="113" spans="2:7" ht="14.25">
      <c r="B113" s="322"/>
      <c r="C113" s="321"/>
      <c r="D113" s="321"/>
      <c r="E113" s="321"/>
      <c r="F113" s="321"/>
      <c r="G113" s="321"/>
    </row>
    <row r="115" spans="1:11" ht="14.25">
      <c r="A115"/>
      <c r="B115"/>
      <c r="C115"/>
      <c r="D115"/>
      <c r="E115"/>
      <c r="F115"/>
      <c r="G115"/>
      <c r="H115"/>
      <c r="I115"/>
      <c r="J115"/>
      <c r="K115"/>
    </row>
    <row r="116" ht="14.25">
      <c r="B116" s="112"/>
    </row>
    <row r="117" ht="14.25">
      <c r="B117" s="112"/>
    </row>
    <row r="118" ht="14.25">
      <c r="B118" s="112"/>
    </row>
    <row r="119" ht="14.25">
      <c r="B119" s="112"/>
    </row>
    <row r="120" ht="14.25">
      <c r="B120" s="112"/>
    </row>
    <row r="121" ht="14.25">
      <c r="B121" s="112"/>
    </row>
    <row r="122" ht="14.25">
      <c r="B122" s="112"/>
    </row>
    <row r="123" ht="14.25">
      <c r="B123" s="112"/>
    </row>
    <row r="124" ht="14.25">
      <c r="B124" s="112"/>
    </row>
    <row r="125" ht="14.25">
      <c r="B125" s="112"/>
    </row>
    <row r="126" ht="14.25">
      <c r="B126" s="112"/>
    </row>
    <row r="127" ht="14.25">
      <c r="B127" s="112"/>
    </row>
    <row r="128" ht="14.25">
      <c r="B128" s="112"/>
    </row>
    <row r="129" ht="14.25">
      <c r="B129" s="112"/>
    </row>
    <row r="130" ht="14.25">
      <c r="B130" s="112"/>
    </row>
    <row r="131" ht="14.25">
      <c r="B131" s="112"/>
    </row>
    <row r="132" ht="14.25">
      <c r="B132" s="112"/>
    </row>
    <row r="133" ht="14.25">
      <c r="B133" s="112"/>
    </row>
    <row r="134" ht="14.25">
      <c r="B134" s="112"/>
    </row>
    <row r="135" ht="14.25">
      <c r="B135" s="112"/>
    </row>
    <row r="136" ht="14.25">
      <c r="B136" s="112"/>
    </row>
    <row r="137" ht="14.25">
      <c r="B137" s="112"/>
    </row>
    <row r="138" ht="14.25">
      <c r="B138" s="112"/>
    </row>
    <row r="139" ht="14.25">
      <c r="B139" s="112"/>
    </row>
  </sheetData>
  <printOptions/>
  <pageMargins left="0.75" right="0.75" top="1" bottom="1" header="0" footer="0"/>
  <pageSetup fitToHeight="1" fitToWidth="1" horizontalDpi="300" verticalDpi="300" orientation="portrait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5"/>
  <sheetViews>
    <sheetView workbookViewId="0" topLeftCell="A1">
      <selection activeCell="G255" sqref="G255"/>
    </sheetView>
  </sheetViews>
  <sheetFormatPr defaultColWidth="9.140625" defaultRowHeight="12.75"/>
  <cols>
    <col min="1" max="1" width="11.421875" style="145" customWidth="1"/>
    <col min="2" max="2" width="42.7109375" style="145" customWidth="1"/>
    <col min="3" max="6" width="16.28125" style="145" customWidth="1"/>
    <col min="7" max="7" width="18.7109375" style="145" customWidth="1"/>
    <col min="8" max="8" width="16.28125" style="145" customWidth="1"/>
    <col min="9" max="16384" width="11.421875" style="145" customWidth="1"/>
  </cols>
  <sheetData>
    <row r="1" spans="2:9" ht="18">
      <c r="B1" s="160" t="s">
        <v>166</v>
      </c>
      <c r="C1" s="160"/>
      <c r="D1" s="160"/>
      <c r="E1" s="160"/>
      <c r="F1" s="160"/>
      <c r="G1" s="160"/>
      <c r="H1" s="169"/>
      <c r="I1" s="169"/>
    </row>
    <row r="2" spans="2:9" ht="14.25">
      <c r="B2" s="146"/>
      <c r="C2" s="146"/>
      <c r="D2" s="146"/>
      <c r="E2" s="146"/>
      <c r="F2" s="169"/>
      <c r="G2" s="169"/>
      <c r="H2" s="169"/>
      <c r="I2" s="169"/>
    </row>
    <row r="3" spans="2:9" ht="14.25">
      <c r="B3" s="146"/>
      <c r="C3" s="611" t="s">
        <v>172</v>
      </c>
      <c r="D3" s="611"/>
      <c r="E3" s="611" t="s">
        <v>173</v>
      </c>
      <c r="F3" s="611"/>
      <c r="G3" s="612" t="s">
        <v>118</v>
      </c>
      <c r="H3" s="612"/>
      <c r="I3" s="169"/>
    </row>
    <row r="4" spans="2:9" ht="15.75" thickBot="1">
      <c r="B4" s="360" t="s">
        <v>97</v>
      </c>
      <c r="C4" s="361" t="s">
        <v>322</v>
      </c>
      <c r="D4" s="361" t="s">
        <v>351</v>
      </c>
      <c r="E4" s="361" t="s">
        <v>352</v>
      </c>
      <c r="F4" s="361" t="s">
        <v>351</v>
      </c>
      <c r="G4" s="361" t="s">
        <v>352</v>
      </c>
      <c r="H4" s="361" t="s">
        <v>351</v>
      </c>
      <c r="I4" s="169"/>
    </row>
    <row r="5" spans="2:9" ht="14.25">
      <c r="B5" s="147" t="s">
        <v>162</v>
      </c>
      <c r="C5" s="148">
        <v>296888</v>
      </c>
      <c r="D5" s="149">
        <v>51090078.13</v>
      </c>
      <c r="E5" s="148">
        <v>152046</v>
      </c>
      <c r="F5" s="149">
        <v>5040428.27</v>
      </c>
      <c r="G5" s="148">
        <f>C5+E5</f>
        <v>448934</v>
      </c>
      <c r="H5" s="149">
        <f>D5+F5</f>
        <v>56130506.400000006</v>
      </c>
      <c r="I5" s="169"/>
    </row>
    <row r="6" spans="2:9" ht="15" thickBot="1">
      <c r="B6" s="150" t="s">
        <v>163</v>
      </c>
      <c r="C6" s="150"/>
      <c r="D6" s="151">
        <v>2201026.98</v>
      </c>
      <c r="E6" s="153">
        <v>124764</v>
      </c>
      <c r="F6" s="151">
        <f>E6*3</f>
        <v>374292</v>
      </c>
      <c r="G6" s="153">
        <v>124764</v>
      </c>
      <c r="H6" s="151">
        <f>D6+F6</f>
        <v>2575318.98</v>
      </c>
      <c r="I6" s="169"/>
    </row>
    <row r="7" spans="2:9" ht="15">
      <c r="B7" s="362" t="s">
        <v>12</v>
      </c>
      <c r="C7" s="363"/>
      <c r="D7" s="364">
        <f>SUM(D5:D6)</f>
        <v>53291105.11</v>
      </c>
      <c r="E7" s="363"/>
      <c r="F7" s="364">
        <f>SUM(F5:F6)</f>
        <v>5414720.27</v>
      </c>
      <c r="G7" s="363"/>
      <c r="H7" s="364">
        <f>SUM(H5:H6)</f>
        <v>58705825.38</v>
      </c>
      <c r="I7" s="169"/>
    </row>
    <row r="8" spans="2:9" ht="14.25">
      <c r="B8" s="161" t="s">
        <v>164</v>
      </c>
      <c r="C8" s="162"/>
      <c r="D8" s="163">
        <v>269753.48</v>
      </c>
      <c r="E8" s="146"/>
      <c r="F8" s="163">
        <v>11400.8</v>
      </c>
      <c r="G8" s="162"/>
      <c r="H8" s="163">
        <f>D8+F8</f>
        <v>281154.27999999997</v>
      </c>
      <c r="I8" s="169"/>
    </row>
    <row r="9" spans="2:9" ht="14.25">
      <c r="B9" s="169"/>
      <c r="C9" s="152"/>
      <c r="D9" s="169"/>
      <c r="E9" s="146"/>
      <c r="F9" s="169"/>
      <c r="G9" s="169"/>
      <c r="H9" s="169"/>
      <c r="I9" s="169"/>
    </row>
    <row r="10" spans="2:9" ht="18">
      <c r="B10" s="160" t="s">
        <v>353</v>
      </c>
      <c r="C10" s="160"/>
      <c r="D10" s="160"/>
      <c r="E10" s="160"/>
      <c r="F10" s="160"/>
      <c r="G10" s="160"/>
      <c r="H10" s="169"/>
      <c r="I10" s="169"/>
    </row>
    <row r="11" spans="2:9" ht="12.75">
      <c r="B11" s="169"/>
      <c r="C11" s="169"/>
      <c r="D11" s="169"/>
      <c r="E11" s="169"/>
      <c r="F11" s="169"/>
      <c r="G11" s="169"/>
      <c r="H11" s="169"/>
      <c r="I11" s="169"/>
    </row>
    <row r="12" spans="2:9" ht="15.75" thickBot="1">
      <c r="B12" s="365" t="s">
        <v>321</v>
      </c>
      <c r="C12" s="366" t="s">
        <v>354</v>
      </c>
      <c r="D12" s="366" t="s">
        <v>355</v>
      </c>
      <c r="E12" s="366" t="s">
        <v>356</v>
      </c>
      <c r="F12" s="366" t="s">
        <v>357</v>
      </c>
      <c r="G12" s="366" t="s">
        <v>358</v>
      </c>
      <c r="H12" s="169"/>
      <c r="I12" s="169"/>
    </row>
    <row r="13" spans="2:9" ht="14.25">
      <c r="B13" s="147" t="s">
        <v>53</v>
      </c>
      <c r="C13" s="154">
        <f aca="true" t="shared" si="0" ref="C13:C18">F13-(D13-E13)</f>
        <v>4584</v>
      </c>
      <c r="D13" s="154">
        <v>69643</v>
      </c>
      <c r="E13" s="154">
        <v>64476</v>
      </c>
      <c r="F13" s="154">
        <v>9751</v>
      </c>
      <c r="G13" s="154">
        <f aca="true" t="shared" si="1" ref="G13:G18">C13+D13</f>
        <v>74227</v>
      </c>
      <c r="H13" s="169"/>
      <c r="I13" s="169"/>
    </row>
    <row r="14" spans="2:9" ht="14.25">
      <c r="B14" s="155" t="s">
        <v>87</v>
      </c>
      <c r="C14" s="156">
        <f t="shared" si="0"/>
        <v>4047</v>
      </c>
      <c r="D14" s="156">
        <v>18357</v>
      </c>
      <c r="E14" s="156">
        <v>19649</v>
      </c>
      <c r="F14" s="157">
        <v>2755</v>
      </c>
      <c r="G14" s="157">
        <f t="shared" si="1"/>
        <v>22404</v>
      </c>
      <c r="H14" s="169"/>
      <c r="I14" s="169"/>
    </row>
    <row r="15" spans="2:9" ht="14.25">
      <c r="B15" s="155" t="s">
        <v>80</v>
      </c>
      <c r="C15" s="158">
        <f t="shared" si="0"/>
        <v>169</v>
      </c>
      <c r="D15" s="158">
        <v>10003</v>
      </c>
      <c r="E15" s="158">
        <v>10040</v>
      </c>
      <c r="F15" s="157">
        <v>132</v>
      </c>
      <c r="G15" s="157">
        <f t="shared" si="1"/>
        <v>10172</v>
      </c>
      <c r="H15" s="169"/>
      <c r="I15" s="169"/>
    </row>
    <row r="16" spans="2:9" ht="14.25">
      <c r="B16" s="155" t="s">
        <v>71</v>
      </c>
      <c r="C16" s="158">
        <f t="shared" si="0"/>
        <v>0</v>
      </c>
      <c r="D16" s="158">
        <v>22926</v>
      </c>
      <c r="E16" s="158">
        <v>21244</v>
      </c>
      <c r="F16" s="157">
        <v>1682</v>
      </c>
      <c r="G16" s="157">
        <f t="shared" si="1"/>
        <v>22926</v>
      </c>
      <c r="H16" s="169"/>
      <c r="I16" s="169"/>
    </row>
    <row r="17" spans="2:9" ht="15" thickBot="1">
      <c r="B17" s="150" t="s">
        <v>92</v>
      </c>
      <c r="C17" s="153">
        <f t="shared" si="0"/>
        <v>759</v>
      </c>
      <c r="D17" s="153">
        <v>4977</v>
      </c>
      <c r="E17" s="153">
        <v>4685</v>
      </c>
      <c r="F17" s="153">
        <v>1051</v>
      </c>
      <c r="G17" s="153">
        <f t="shared" si="1"/>
        <v>5736</v>
      </c>
      <c r="H17" s="169"/>
      <c r="I17" s="169"/>
    </row>
    <row r="18" spans="2:9" ht="15">
      <c r="B18" s="367" t="s">
        <v>12</v>
      </c>
      <c r="C18" s="368">
        <f t="shared" si="0"/>
        <v>9559</v>
      </c>
      <c r="D18" s="368">
        <f>SUM(D13:D17)</f>
        <v>125906</v>
      </c>
      <c r="E18" s="368">
        <f>SUM(E13:E17)</f>
        <v>120094</v>
      </c>
      <c r="F18" s="368">
        <f>SUM(F13:F17)</f>
        <v>15371</v>
      </c>
      <c r="G18" s="368">
        <f t="shared" si="1"/>
        <v>135465</v>
      </c>
      <c r="H18" s="169"/>
      <c r="I18" s="169"/>
    </row>
    <row r="19" spans="2:9" ht="12.75">
      <c r="B19" s="164" t="s">
        <v>202</v>
      </c>
      <c r="C19" s="169"/>
      <c r="D19" s="169"/>
      <c r="E19" s="169"/>
      <c r="F19" s="169"/>
      <c r="G19" s="169"/>
      <c r="H19" s="169"/>
      <c r="I19" s="169"/>
    </row>
    <row r="20" spans="2:9" ht="12.75">
      <c r="B20" s="169"/>
      <c r="C20" s="169"/>
      <c r="D20" s="169"/>
      <c r="E20" s="169"/>
      <c r="F20" s="169"/>
      <c r="G20" s="169"/>
      <c r="H20" s="169"/>
      <c r="I20" s="169"/>
    </row>
    <row r="21" spans="2:9" ht="15">
      <c r="B21" s="169"/>
      <c r="C21" s="169"/>
      <c r="D21" s="169"/>
      <c r="E21" s="169"/>
      <c r="F21" s="169"/>
      <c r="G21" s="169"/>
      <c r="H21" s="102"/>
      <c r="I21" s="169"/>
    </row>
    <row r="22" spans="2:9" ht="12.75">
      <c r="B22" s="169"/>
      <c r="C22" s="169"/>
      <c r="D22" s="169"/>
      <c r="E22" s="169"/>
      <c r="F22" s="169"/>
      <c r="G22" s="169"/>
      <c r="H22" s="169"/>
      <c r="I22" s="169"/>
    </row>
    <row r="23" spans="2:9" ht="12.75">
      <c r="B23" s="169"/>
      <c r="C23" s="169"/>
      <c r="D23" s="169"/>
      <c r="E23" s="169"/>
      <c r="F23" s="169"/>
      <c r="G23" s="169"/>
      <c r="H23" s="169"/>
      <c r="I23" s="169"/>
    </row>
    <row r="24" spans="2:9" ht="12.75">
      <c r="B24" s="169"/>
      <c r="C24" s="169"/>
      <c r="D24" s="169"/>
      <c r="E24" s="169"/>
      <c r="F24" s="169"/>
      <c r="G24" s="169"/>
      <c r="H24" s="169"/>
      <c r="I24" s="169"/>
    </row>
    <row r="25" spans="2:9" ht="12.75">
      <c r="B25" s="169"/>
      <c r="C25" s="169"/>
      <c r="D25" s="169"/>
      <c r="E25" s="169"/>
      <c r="F25" s="169"/>
      <c r="G25" s="169"/>
      <c r="H25" s="169"/>
      <c r="I25" s="169"/>
    </row>
    <row r="26" spans="2:9" ht="12.75">
      <c r="B26" s="169"/>
      <c r="C26" s="169"/>
      <c r="D26" s="169"/>
      <c r="E26" s="169"/>
      <c r="F26" s="169"/>
      <c r="G26" s="169"/>
      <c r="H26" s="169"/>
      <c r="I26" s="169"/>
    </row>
    <row r="27" spans="2:9" ht="12.75">
      <c r="B27" s="169"/>
      <c r="C27" s="169"/>
      <c r="D27" s="169"/>
      <c r="E27" s="169"/>
      <c r="F27" s="169"/>
      <c r="G27" s="169"/>
      <c r="H27" s="169"/>
      <c r="I27" s="169"/>
    </row>
    <row r="28" spans="2:9" ht="12.75">
      <c r="B28" s="169"/>
      <c r="C28" s="169"/>
      <c r="D28" s="169"/>
      <c r="E28" s="169"/>
      <c r="F28" s="169"/>
      <c r="G28" s="169"/>
      <c r="H28" s="169"/>
      <c r="I28" s="169"/>
    </row>
    <row r="29" spans="2:9" ht="12.75">
      <c r="B29" s="169"/>
      <c r="C29" s="169"/>
      <c r="D29" s="169"/>
      <c r="E29" s="169"/>
      <c r="F29" s="169"/>
      <c r="G29" s="169"/>
      <c r="H29" s="169"/>
      <c r="I29" s="169"/>
    </row>
    <row r="30" spans="2:9" ht="12.75">
      <c r="B30" s="169"/>
      <c r="C30" s="169"/>
      <c r="D30" s="169"/>
      <c r="E30" s="169"/>
      <c r="F30" s="169"/>
      <c r="G30" s="169"/>
      <c r="H30" s="169"/>
      <c r="I30" s="169"/>
    </row>
    <row r="31" spans="2:9" ht="12.75">
      <c r="B31" s="169"/>
      <c r="C31" s="169"/>
      <c r="D31" s="169"/>
      <c r="E31" s="169"/>
      <c r="F31" s="169"/>
      <c r="G31" s="169"/>
      <c r="H31" s="169"/>
      <c r="I31" s="169"/>
    </row>
    <row r="32" spans="2:9" ht="12.75">
      <c r="B32" s="169"/>
      <c r="C32" s="169"/>
      <c r="D32" s="169"/>
      <c r="E32" s="169"/>
      <c r="F32" s="169"/>
      <c r="G32" s="169"/>
      <c r="H32" s="169"/>
      <c r="I32" s="169"/>
    </row>
    <row r="33" spans="2:9" ht="12.75">
      <c r="B33" s="169"/>
      <c r="C33" s="169"/>
      <c r="D33" s="169"/>
      <c r="E33" s="169"/>
      <c r="F33" s="169"/>
      <c r="G33" s="169"/>
      <c r="H33" s="169"/>
      <c r="I33" s="169"/>
    </row>
    <row r="34" spans="2:9" ht="12.75">
      <c r="B34" s="169"/>
      <c r="C34" s="169"/>
      <c r="D34" s="169"/>
      <c r="E34" s="169"/>
      <c r="F34" s="169"/>
      <c r="G34" s="169"/>
      <c r="H34" s="169"/>
      <c r="I34" s="169"/>
    </row>
    <row r="35" spans="2:9" ht="12.75">
      <c r="B35" s="169"/>
      <c r="C35" s="169"/>
      <c r="D35" s="169"/>
      <c r="E35" s="169"/>
      <c r="F35" s="169"/>
      <c r="G35" s="169"/>
      <c r="H35" s="169"/>
      <c r="I35" s="169"/>
    </row>
    <row r="36" spans="2:9" ht="12.75">
      <c r="B36" s="169"/>
      <c r="C36" s="169"/>
      <c r="D36" s="169"/>
      <c r="E36" s="169"/>
      <c r="F36" s="169"/>
      <c r="G36" s="169"/>
      <c r="H36" s="169"/>
      <c r="I36" s="169"/>
    </row>
    <row r="37" spans="2:9" ht="12.75">
      <c r="B37" s="169"/>
      <c r="C37" s="169"/>
      <c r="D37" s="169"/>
      <c r="E37" s="169"/>
      <c r="F37" s="169"/>
      <c r="G37" s="169"/>
      <c r="H37" s="169"/>
      <c r="I37" s="169"/>
    </row>
    <row r="38" spans="2:9" ht="12.75">
      <c r="B38" s="169"/>
      <c r="C38" s="169"/>
      <c r="D38" s="169"/>
      <c r="E38" s="169"/>
      <c r="F38" s="169"/>
      <c r="G38" s="169"/>
      <c r="H38" s="169"/>
      <c r="I38" s="169"/>
    </row>
    <row r="39" spans="2:9" ht="12.75">
      <c r="B39" s="169"/>
      <c r="C39" s="169"/>
      <c r="D39" s="169"/>
      <c r="E39" s="169"/>
      <c r="F39" s="169"/>
      <c r="G39" s="169"/>
      <c r="H39" s="169"/>
      <c r="I39" s="169"/>
    </row>
    <row r="40" spans="2:9" ht="12.75">
      <c r="B40" s="169"/>
      <c r="C40" s="169"/>
      <c r="D40" s="169"/>
      <c r="E40" s="169"/>
      <c r="F40" s="169"/>
      <c r="G40" s="169"/>
      <c r="H40" s="169"/>
      <c r="I40" s="169"/>
    </row>
    <row r="41" spans="2:9" ht="12.75">
      <c r="B41" s="169"/>
      <c r="C41" s="169"/>
      <c r="D41" s="169"/>
      <c r="E41" s="169"/>
      <c r="F41" s="169"/>
      <c r="G41" s="169"/>
      <c r="H41" s="169"/>
      <c r="I41" s="169"/>
    </row>
    <row r="42" spans="2:9" ht="12.75">
      <c r="B42" s="169"/>
      <c r="C42" s="169"/>
      <c r="D42" s="169"/>
      <c r="E42" s="169"/>
      <c r="F42" s="169"/>
      <c r="G42" s="169"/>
      <c r="H42" s="169"/>
      <c r="I42" s="169"/>
    </row>
    <row r="43" spans="2:9" ht="12.75">
      <c r="B43" s="169"/>
      <c r="C43" s="169"/>
      <c r="D43" s="169"/>
      <c r="E43" s="169"/>
      <c r="F43" s="169"/>
      <c r="G43" s="169"/>
      <c r="H43" s="169"/>
      <c r="I43" s="169"/>
    </row>
    <row r="44" spans="2:9" ht="12.75">
      <c r="B44" s="169"/>
      <c r="C44" s="169"/>
      <c r="D44" s="169"/>
      <c r="E44" s="169"/>
      <c r="F44" s="169"/>
      <c r="G44" s="169"/>
      <c r="H44" s="169"/>
      <c r="I44" s="169"/>
    </row>
    <row r="45" spans="2:9" ht="12.75">
      <c r="B45" s="169"/>
      <c r="C45" s="169"/>
      <c r="D45" s="169"/>
      <c r="E45" s="169"/>
      <c r="F45" s="169"/>
      <c r="G45" s="169"/>
      <c r="H45" s="169"/>
      <c r="I45" s="169"/>
    </row>
    <row r="46" spans="2:9" ht="12.75">
      <c r="B46" s="169"/>
      <c r="C46" s="169"/>
      <c r="D46" s="169"/>
      <c r="E46" s="169"/>
      <c r="F46" s="169"/>
      <c r="G46" s="169"/>
      <c r="H46" s="169"/>
      <c r="I46" s="169"/>
    </row>
    <row r="47" spans="2:9" ht="18">
      <c r="B47" s="160" t="s">
        <v>359</v>
      </c>
      <c r="C47" s="169"/>
      <c r="D47" s="169"/>
      <c r="E47" s="169"/>
      <c r="F47" s="169"/>
      <c r="G47" s="169"/>
      <c r="H47" s="169"/>
      <c r="I47" s="169"/>
    </row>
    <row r="48" spans="2:9" ht="12.75">
      <c r="B48" s="169"/>
      <c r="C48" s="169"/>
      <c r="D48" s="169"/>
      <c r="E48" s="169"/>
      <c r="F48" s="169"/>
      <c r="G48" s="169"/>
      <c r="H48" s="169"/>
      <c r="I48" s="169"/>
    </row>
    <row r="49" spans="2:9" ht="12.75">
      <c r="B49" s="169"/>
      <c r="C49" s="169"/>
      <c r="D49" s="169"/>
      <c r="E49" s="169"/>
      <c r="F49" s="169"/>
      <c r="G49" s="169"/>
      <c r="H49" s="169"/>
      <c r="I49" s="169"/>
    </row>
    <row r="50" spans="2:9" ht="15.75" thickBot="1">
      <c r="B50" s="365" t="s">
        <v>321</v>
      </c>
      <c r="C50" s="369" t="s">
        <v>37</v>
      </c>
      <c r="D50" s="369" t="s">
        <v>23</v>
      </c>
      <c r="E50" s="369" t="s">
        <v>24</v>
      </c>
      <c r="F50" s="369" t="s">
        <v>25</v>
      </c>
      <c r="G50" s="369" t="s">
        <v>26</v>
      </c>
      <c r="H50" s="169"/>
      <c r="I50" s="169"/>
    </row>
    <row r="51" spans="2:9" ht="14.25">
      <c r="B51" s="147" t="s">
        <v>53</v>
      </c>
      <c r="C51" s="104">
        <v>60614</v>
      </c>
      <c r="D51" s="104">
        <v>48119</v>
      </c>
      <c r="E51" s="104">
        <v>61977</v>
      </c>
      <c r="F51" s="104">
        <v>74078</v>
      </c>
      <c r="G51" s="104">
        <v>64476</v>
      </c>
      <c r="H51" s="169"/>
      <c r="I51" s="169"/>
    </row>
    <row r="52" spans="2:9" ht="14.25">
      <c r="B52" s="155" t="s">
        <v>87</v>
      </c>
      <c r="C52" s="105">
        <v>20078</v>
      </c>
      <c r="D52" s="105">
        <v>23571</v>
      </c>
      <c r="E52" s="105">
        <v>22821</v>
      </c>
      <c r="F52" s="105">
        <v>22856</v>
      </c>
      <c r="G52" s="105">
        <v>19649</v>
      </c>
      <c r="H52" s="169"/>
      <c r="I52" s="169"/>
    </row>
    <row r="53" spans="2:9" ht="14.25">
      <c r="B53" s="155" t="s">
        <v>80</v>
      </c>
      <c r="C53" s="105">
        <v>13632</v>
      </c>
      <c r="D53" s="105">
        <v>11433</v>
      </c>
      <c r="E53" s="105">
        <v>6186</v>
      </c>
      <c r="F53" s="105">
        <v>10288</v>
      </c>
      <c r="G53" s="105">
        <v>10040</v>
      </c>
      <c r="H53" s="169"/>
      <c r="I53" s="169"/>
    </row>
    <row r="54" spans="2:9" ht="14.25">
      <c r="B54" s="155" t="s">
        <v>71</v>
      </c>
      <c r="C54" s="105">
        <v>14400</v>
      </c>
      <c r="D54" s="105">
        <v>19286</v>
      </c>
      <c r="E54" s="105">
        <v>15697</v>
      </c>
      <c r="F54" s="105">
        <v>25105</v>
      </c>
      <c r="G54" s="105">
        <v>21244</v>
      </c>
      <c r="H54" s="169"/>
      <c r="I54" s="169"/>
    </row>
    <row r="55" spans="2:9" ht="15" thickBot="1">
      <c r="B55" s="150" t="s">
        <v>92</v>
      </c>
      <c r="C55" s="106">
        <v>4057</v>
      </c>
      <c r="D55" s="106">
        <v>5009</v>
      </c>
      <c r="E55" s="106">
        <v>4033</v>
      </c>
      <c r="F55" s="106">
        <v>7609</v>
      </c>
      <c r="G55" s="106">
        <v>4685</v>
      </c>
      <c r="H55" s="169"/>
      <c r="I55" s="169"/>
    </row>
    <row r="56" spans="2:9" ht="15">
      <c r="B56" s="367" t="s">
        <v>12</v>
      </c>
      <c r="C56" s="368">
        <f>SUM(C51:C55)</f>
        <v>112781</v>
      </c>
      <c r="D56" s="368">
        <f>SUM(D51:D55)</f>
        <v>107418</v>
      </c>
      <c r="E56" s="368">
        <f>SUM(E51:E55)</f>
        <v>110714</v>
      </c>
      <c r="F56" s="368">
        <f>SUM(F51:F55)</f>
        <v>139936</v>
      </c>
      <c r="G56" s="368">
        <v>120094</v>
      </c>
      <c r="H56" s="169"/>
      <c r="I56" s="169"/>
    </row>
    <row r="57" spans="2:9" ht="12.75">
      <c r="B57" s="169"/>
      <c r="C57" s="169"/>
      <c r="D57" s="169"/>
      <c r="E57" s="169"/>
      <c r="F57" s="169"/>
      <c r="G57" s="169"/>
      <c r="H57" s="169"/>
      <c r="I57" s="169"/>
    </row>
    <row r="58" spans="2:9" ht="12.75">
      <c r="B58" s="169"/>
      <c r="C58" s="169"/>
      <c r="D58" s="169"/>
      <c r="E58" s="169"/>
      <c r="F58" s="169"/>
      <c r="G58" s="169"/>
      <c r="H58" s="169"/>
      <c r="I58" s="169"/>
    </row>
    <row r="59" spans="2:9" ht="12.75">
      <c r="B59" s="169"/>
      <c r="C59" s="169"/>
      <c r="D59" s="169"/>
      <c r="E59" s="169"/>
      <c r="F59" s="169"/>
      <c r="G59" s="169"/>
      <c r="H59" s="169"/>
      <c r="I59" s="169"/>
    </row>
    <row r="60" spans="2:9" ht="12.75">
      <c r="B60" s="169"/>
      <c r="C60" s="169"/>
      <c r="D60" s="169"/>
      <c r="E60" s="169"/>
      <c r="F60" s="169"/>
      <c r="G60" s="169"/>
      <c r="H60" s="169"/>
      <c r="I60" s="169"/>
    </row>
    <row r="61" spans="2:9" ht="12.75">
      <c r="B61" s="169"/>
      <c r="C61" s="169"/>
      <c r="D61" s="169"/>
      <c r="E61" s="169"/>
      <c r="F61" s="169"/>
      <c r="G61" s="169"/>
      <c r="H61" s="169"/>
      <c r="I61" s="169"/>
    </row>
    <row r="62" spans="2:9" ht="12.75">
      <c r="B62" s="169"/>
      <c r="C62" s="169"/>
      <c r="D62" s="169"/>
      <c r="E62" s="169"/>
      <c r="F62" s="169"/>
      <c r="G62" s="169"/>
      <c r="H62" s="169"/>
      <c r="I62" s="169"/>
    </row>
    <row r="63" spans="2:9" ht="12.75">
      <c r="B63" s="169"/>
      <c r="C63" s="169"/>
      <c r="D63" s="169"/>
      <c r="E63" s="169"/>
      <c r="F63" s="169"/>
      <c r="G63" s="169"/>
      <c r="H63" s="169"/>
      <c r="I63" s="169"/>
    </row>
    <row r="64" spans="2:9" ht="12.75">
      <c r="B64" s="169"/>
      <c r="C64" s="169"/>
      <c r="D64" s="169"/>
      <c r="E64" s="169"/>
      <c r="F64" s="169"/>
      <c r="G64" s="169"/>
      <c r="H64" s="169"/>
      <c r="I64" s="169"/>
    </row>
    <row r="65" spans="2:9" ht="12.75">
      <c r="B65" s="169"/>
      <c r="C65" s="169"/>
      <c r="D65" s="169"/>
      <c r="E65" s="169"/>
      <c r="F65" s="169"/>
      <c r="G65" s="169"/>
      <c r="H65" s="169"/>
      <c r="I65" s="169"/>
    </row>
    <row r="66" spans="2:9" ht="12.75">
      <c r="B66" s="169"/>
      <c r="C66" s="169"/>
      <c r="D66" s="169"/>
      <c r="E66" s="169"/>
      <c r="F66" s="169"/>
      <c r="G66" s="169"/>
      <c r="H66" s="169"/>
      <c r="I66" s="169"/>
    </row>
    <row r="67" spans="2:9" ht="12.75">
      <c r="B67" s="169"/>
      <c r="C67" s="169"/>
      <c r="D67" s="169"/>
      <c r="E67" s="169"/>
      <c r="F67" s="169"/>
      <c r="G67" s="169"/>
      <c r="H67" s="169"/>
      <c r="I67" s="169"/>
    </row>
    <row r="68" spans="2:9" ht="12.75">
      <c r="B68" s="169"/>
      <c r="C68" s="169"/>
      <c r="D68" s="169"/>
      <c r="E68" s="169"/>
      <c r="F68" s="169"/>
      <c r="G68" s="169"/>
      <c r="H68" s="169"/>
      <c r="I68" s="169"/>
    </row>
    <row r="69" spans="2:9" ht="12.75">
      <c r="B69" s="169"/>
      <c r="C69" s="169"/>
      <c r="D69" s="169"/>
      <c r="E69" s="169"/>
      <c r="F69" s="169"/>
      <c r="G69" s="169"/>
      <c r="H69" s="169"/>
      <c r="I69" s="169"/>
    </row>
    <row r="70" spans="2:9" ht="12.75">
      <c r="B70" s="169"/>
      <c r="C70" s="169"/>
      <c r="D70" s="169"/>
      <c r="E70" s="169"/>
      <c r="F70" s="169"/>
      <c r="G70" s="169"/>
      <c r="H70" s="169"/>
      <c r="I70" s="169"/>
    </row>
    <row r="71" spans="2:9" ht="12.75">
      <c r="B71" s="169"/>
      <c r="C71" s="169"/>
      <c r="D71" s="169"/>
      <c r="E71" s="169"/>
      <c r="F71" s="169"/>
      <c r="G71" s="169"/>
      <c r="H71" s="169"/>
      <c r="I71" s="169"/>
    </row>
    <row r="72" spans="2:9" ht="12.75">
      <c r="B72" s="169"/>
      <c r="C72" s="169"/>
      <c r="D72" s="169"/>
      <c r="E72" s="169"/>
      <c r="F72" s="169"/>
      <c r="G72" s="169"/>
      <c r="H72" s="169"/>
      <c r="I72" s="169"/>
    </row>
    <row r="73" spans="2:9" ht="12.75">
      <c r="B73" s="169"/>
      <c r="C73" s="169"/>
      <c r="D73" s="169"/>
      <c r="E73" s="169"/>
      <c r="F73" s="169"/>
      <c r="G73" s="169"/>
      <c r="H73" s="169"/>
      <c r="I73" s="169"/>
    </row>
    <row r="74" spans="2:9" ht="12.75">
      <c r="B74" s="169"/>
      <c r="C74" s="169"/>
      <c r="D74" s="169"/>
      <c r="E74" s="169"/>
      <c r="F74" s="169"/>
      <c r="G74" s="169"/>
      <c r="H74" s="169"/>
      <c r="I74" s="169"/>
    </row>
    <row r="75" spans="2:9" ht="12.75">
      <c r="B75" s="169"/>
      <c r="C75" s="169"/>
      <c r="D75" s="169"/>
      <c r="E75" s="169"/>
      <c r="F75" s="169"/>
      <c r="G75" s="169"/>
      <c r="H75" s="169"/>
      <c r="I75" s="169"/>
    </row>
    <row r="76" spans="2:9" ht="12.75">
      <c r="B76" s="169"/>
      <c r="C76" s="169"/>
      <c r="D76" s="169"/>
      <c r="E76" s="169"/>
      <c r="F76" s="169"/>
      <c r="G76" s="169"/>
      <c r="H76" s="169"/>
      <c r="I76" s="169"/>
    </row>
    <row r="77" spans="2:9" ht="12.75">
      <c r="B77" s="169"/>
      <c r="C77" s="169"/>
      <c r="D77" s="169"/>
      <c r="E77" s="169"/>
      <c r="F77" s="169"/>
      <c r="G77" s="169"/>
      <c r="H77" s="169"/>
      <c r="I77" s="169"/>
    </row>
    <row r="78" spans="2:9" ht="18">
      <c r="B78" s="160" t="s">
        <v>188</v>
      </c>
      <c r="C78" s="160"/>
      <c r="D78" s="160"/>
      <c r="E78" s="160"/>
      <c r="F78" s="160"/>
      <c r="G78" s="169"/>
      <c r="H78" s="169"/>
      <c r="I78" s="169"/>
    </row>
    <row r="79" spans="2:9" ht="12.75">
      <c r="B79" s="169"/>
      <c r="C79" s="169"/>
      <c r="D79" s="169"/>
      <c r="E79" s="169"/>
      <c r="F79" s="169"/>
      <c r="G79" s="169"/>
      <c r="H79" s="169"/>
      <c r="I79" s="169"/>
    </row>
    <row r="80" spans="2:9" ht="15.75" thickBot="1">
      <c r="B80" s="370"/>
      <c r="C80" s="371" t="s">
        <v>24</v>
      </c>
      <c r="D80" s="371" t="s">
        <v>25</v>
      </c>
      <c r="E80" s="372" t="s">
        <v>171</v>
      </c>
      <c r="F80" s="169"/>
      <c r="G80" s="169"/>
      <c r="H80" s="169"/>
      <c r="I80" s="169"/>
    </row>
    <row r="81" spans="2:9" ht="15.75" thickBot="1">
      <c r="B81" s="373" t="s">
        <v>360</v>
      </c>
      <c r="C81" s="374">
        <v>1483759.45</v>
      </c>
      <c r="D81" s="374">
        <v>1380878.86</v>
      </c>
      <c r="E81" s="375">
        <f>(D81/C81)-1</f>
        <v>-0.06933778248219402</v>
      </c>
      <c r="F81" s="169"/>
      <c r="G81" s="169"/>
      <c r="H81" s="169"/>
      <c r="I81" s="169"/>
    </row>
    <row r="82" spans="2:9" ht="15.75" thickBot="1">
      <c r="B82" s="373" t="s">
        <v>172</v>
      </c>
      <c r="C82" s="376"/>
      <c r="D82" s="376"/>
      <c r="E82" s="377"/>
      <c r="F82" s="169"/>
      <c r="G82" s="169"/>
      <c r="H82" s="169"/>
      <c r="I82" s="169"/>
    </row>
    <row r="83" spans="2:9" ht="14.25">
      <c r="B83" s="378" t="s">
        <v>167</v>
      </c>
      <c r="C83" s="379">
        <v>43006063.29</v>
      </c>
      <c r="D83" s="379">
        <v>42114085.03</v>
      </c>
      <c r="E83" s="380">
        <f>(D83/C83)-1</f>
        <v>-0.02074075587865787</v>
      </c>
      <c r="F83" s="169"/>
      <c r="G83" s="169"/>
      <c r="H83" s="169"/>
      <c r="I83" s="169"/>
    </row>
    <row r="84" spans="2:9" ht="14.25">
      <c r="B84" s="381" t="s">
        <v>168</v>
      </c>
      <c r="C84" s="382">
        <v>14732014.45</v>
      </c>
      <c r="D84" s="382">
        <v>14052108.44</v>
      </c>
      <c r="E84" s="383">
        <f>(D84/C84)-1</f>
        <v>-0.04615159809322611</v>
      </c>
      <c r="F84" s="169"/>
      <c r="G84" s="169"/>
      <c r="H84" s="169"/>
      <c r="I84" s="169"/>
    </row>
    <row r="85" spans="2:9" ht="15" thickBot="1">
      <c r="B85" s="384" t="s">
        <v>169</v>
      </c>
      <c r="C85" s="385">
        <v>2316870.5</v>
      </c>
      <c r="D85" s="385">
        <v>2201026.98</v>
      </c>
      <c r="E85" s="386">
        <f>(D85/C85)-1</f>
        <v>-0.049999997841916555</v>
      </c>
      <c r="F85" s="169"/>
      <c r="G85" s="169"/>
      <c r="H85" s="169"/>
      <c r="I85" s="169"/>
    </row>
    <row r="86" spans="2:9" ht="15">
      <c r="B86" s="387" t="s">
        <v>174</v>
      </c>
      <c r="C86" s="388">
        <f>SUM(C83:C85)</f>
        <v>60054948.239999995</v>
      </c>
      <c r="D86" s="388">
        <f>SUM(D83:D85)</f>
        <v>58367220.449999996</v>
      </c>
      <c r="E86" s="389">
        <f>(D86/C86)-1</f>
        <v>-0.02810305960560089</v>
      </c>
      <c r="F86" s="169"/>
      <c r="G86" s="169"/>
      <c r="H86" s="169"/>
      <c r="I86" s="169"/>
    </row>
    <row r="87" spans="2:9" ht="15.75" thickBot="1">
      <c r="B87" s="390" t="s">
        <v>173</v>
      </c>
      <c r="C87" s="391"/>
      <c r="D87" s="391"/>
      <c r="E87" s="392"/>
      <c r="F87" s="169"/>
      <c r="G87" s="169"/>
      <c r="H87" s="169"/>
      <c r="I87" s="169"/>
    </row>
    <row r="88" spans="2:9" ht="14.25">
      <c r="B88" s="378" t="s">
        <v>361</v>
      </c>
      <c r="C88" s="379">
        <v>5271055.5</v>
      </c>
      <c r="D88" s="379">
        <v>5313459.84</v>
      </c>
      <c r="E88" s="380">
        <f>(D88/C88)-1</f>
        <v>0.008044753085980627</v>
      </c>
      <c r="F88" s="169"/>
      <c r="G88" s="169"/>
      <c r="H88" s="169"/>
      <c r="I88" s="169"/>
    </row>
    <row r="89" spans="2:9" ht="15" thickBot="1">
      <c r="B89" s="384" t="s">
        <v>170</v>
      </c>
      <c r="C89" s="385">
        <v>418225.5</v>
      </c>
      <c r="D89" s="385">
        <v>385776</v>
      </c>
      <c r="E89" s="386">
        <f>(D89/C89)-1</f>
        <v>-0.07758852580724995</v>
      </c>
      <c r="F89" s="169"/>
      <c r="G89" s="169"/>
      <c r="H89" s="169"/>
      <c r="I89" s="169"/>
    </row>
    <row r="90" spans="2:9" ht="15.75" thickBot="1">
      <c r="B90" s="373" t="s">
        <v>175</v>
      </c>
      <c r="C90" s="393">
        <f>SUM(C88:C89)</f>
        <v>5689281</v>
      </c>
      <c r="D90" s="393">
        <f>SUM(D88:D89)</f>
        <v>5699235.84</v>
      </c>
      <c r="E90" s="375">
        <f>(D90/C90)-1</f>
        <v>0.001749753615615024</v>
      </c>
      <c r="F90" s="169"/>
      <c r="G90" s="169"/>
      <c r="H90" s="169"/>
      <c r="I90" s="169"/>
    </row>
    <row r="91" spans="2:9" ht="15">
      <c r="B91" s="394" t="s">
        <v>176</v>
      </c>
      <c r="C91" s="395">
        <v>67227988.69</v>
      </c>
      <c r="D91" s="395">
        <v>65447335.15</v>
      </c>
      <c r="E91" s="396">
        <f>(D91/C91)-1</f>
        <v>-0.026486788831522334</v>
      </c>
      <c r="F91" s="169"/>
      <c r="G91" s="169"/>
      <c r="H91" s="169"/>
      <c r="I91" s="169"/>
    </row>
    <row r="92" spans="2:9" ht="12.75">
      <c r="B92" s="169"/>
      <c r="C92" s="169"/>
      <c r="D92" s="169"/>
      <c r="E92" s="169"/>
      <c r="F92" s="169"/>
      <c r="G92" s="169"/>
      <c r="H92" s="169"/>
      <c r="I92" s="169"/>
    </row>
    <row r="93" spans="2:9" ht="12.75">
      <c r="B93" s="169"/>
      <c r="C93" s="169"/>
      <c r="D93" s="169"/>
      <c r="E93" s="169"/>
      <c r="F93" s="169"/>
      <c r="G93" s="169"/>
      <c r="H93" s="169"/>
      <c r="I93" s="169"/>
    </row>
    <row r="94" spans="2:9" ht="12.75">
      <c r="B94" s="169"/>
      <c r="C94" s="169"/>
      <c r="D94" s="169"/>
      <c r="E94" s="169"/>
      <c r="F94" s="169"/>
      <c r="G94" s="169"/>
      <c r="H94" s="169"/>
      <c r="I94" s="169"/>
    </row>
    <row r="95" spans="2:9" ht="18">
      <c r="B95" s="160" t="s">
        <v>189</v>
      </c>
      <c r="C95" s="160"/>
      <c r="D95" s="160"/>
      <c r="E95" s="160"/>
      <c r="F95" s="160"/>
      <c r="G95" s="169"/>
      <c r="H95" s="169"/>
      <c r="I95" s="169"/>
    </row>
    <row r="96" spans="2:9" ht="12.75">
      <c r="B96" s="169"/>
      <c r="C96" s="169"/>
      <c r="D96" s="169"/>
      <c r="E96" s="169"/>
      <c r="F96" s="169"/>
      <c r="G96" s="169"/>
      <c r="H96" s="169"/>
      <c r="I96" s="169"/>
    </row>
    <row r="97" spans="2:9" ht="15.75" thickBot="1">
      <c r="B97" s="397"/>
      <c r="C97" s="398" t="s">
        <v>123</v>
      </c>
      <c r="D97" s="398" t="s">
        <v>190</v>
      </c>
      <c r="E97" s="169"/>
      <c r="F97" s="169"/>
      <c r="G97" s="169"/>
      <c r="H97" s="169"/>
      <c r="I97" s="169"/>
    </row>
    <row r="98" spans="2:9" ht="15.75" thickBot="1">
      <c r="B98" s="399" t="s">
        <v>185</v>
      </c>
      <c r="C98" s="399"/>
      <c r="D98" s="399"/>
      <c r="E98" s="169"/>
      <c r="F98" s="169"/>
      <c r="G98" s="169"/>
      <c r="H98" s="169"/>
      <c r="I98" s="169"/>
    </row>
    <row r="99" spans="2:9" ht="14.25">
      <c r="B99" s="378" t="s">
        <v>149</v>
      </c>
      <c r="C99" s="400">
        <v>135394</v>
      </c>
      <c r="D99" s="380">
        <f aca="true" t="shared" si="2" ref="D99:D104">C99/C$105</f>
        <v>0.6855982540269289</v>
      </c>
      <c r="E99" s="169"/>
      <c r="F99" s="169"/>
      <c r="G99" s="169"/>
      <c r="H99" s="169"/>
      <c r="I99" s="169"/>
    </row>
    <row r="100" spans="2:9" ht="14.25">
      <c r="B100" s="381" t="s">
        <v>148</v>
      </c>
      <c r="C100" s="401">
        <v>32693</v>
      </c>
      <c r="D100" s="383">
        <f t="shared" si="2"/>
        <v>0.1655484269532061</v>
      </c>
      <c r="E100" s="169"/>
      <c r="F100" s="169"/>
      <c r="G100" s="169"/>
      <c r="H100" s="169"/>
      <c r="I100" s="169"/>
    </row>
    <row r="101" spans="2:9" ht="14.25">
      <c r="B101" s="381" t="s">
        <v>182</v>
      </c>
      <c r="C101" s="401">
        <v>9617</v>
      </c>
      <c r="D101" s="383">
        <f t="shared" si="2"/>
        <v>0.04869786260083146</v>
      </c>
      <c r="E101" s="169"/>
      <c r="F101" s="169"/>
      <c r="G101" s="169"/>
      <c r="H101" s="169"/>
      <c r="I101" s="169"/>
    </row>
    <row r="102" spans="2:9" ht="14.25">
      <c r="B102" s="381" t="s">
        <v>183</v>
      </c>
      <c r="C102" s="401">
        <v>5614</v>
      </c>
      <c r="D102" s="383">
        <f t="shared" si="2"/>
        <v>0.02842776340241945</v>
      </c>
      <c r="E102" s="169"/>
      <c r="F102" s="169"/>
      <c r="G102" s="169"/>
      <c r="H102" s="169"/>
      <c r="I102" s="169"/>
    </row>
    <row r="103" spans="2:9" ht="14.25">
      <c r="B103" s="381" t="s">
        <v>194</v>
      </c>
      <c r="C103" s="402">
        <v>301</v>
      </c>
      <c r="D103" s="383">
        <f t="shared" si="2"/>
        <v>0.0015241818283092722</v>
      </c>
      <c r="E103" s="169"/>
      <c r="F103" s="169"/>
      <c r="G103" s="169"/>
      <c r="H103" s="169"/>
      <c r="I103" s="169"/>
    </row>
    <row r="104" spans="2:9" ht="15" thickBot="1">
      <c r="B104" s="384" t="s">
        <v>184</v>
      </c>
      <c r="C104" s="403">
        <v>13864</v>
      </c>
      <c r="D104" s="386">
        <f t="shared" si="2"/>
        <v>0.07020351118830481</v>
      </c>
      <c r="E104" s="404"/>
      <c r="F104" s="169"/>
      <c r="G104" s="169"/>
      <c r="H104" s="169"/>
      <c r="I104" s="169"/>
    </row>
    <row r="105" spans="2:9" ht="15">
      <c r="B105" s="370" t="s">
        <v>186</v>
      </c>
      <c r="C105" s="405">
        <v>197483</v>
      </c>
      <c r="D105" s="396">
        <f>C105/C111</f>
        <v>0.6310167433537832</v>
      </c>
      <c r="E105" s="169"/>
      <c r="F105" s="169"/>
      <c r="G105" s="169"/>
      <c r="H105" s="169"/>
      <c r="I105" s="169"/>
    </row>
    <row r="106" spans="2:9" ht="15.75" thickBot="1">
      <c r="B106" s="390" t="s">
        <v>180</v>
      </c>
      <c r="C106" s="390"/>
      <c r="D106" s="390"/>
      <c r="E106" s="169"/>
      <c r="F106" s="169"/>
      <c r="G106" s="169"/>
      <c r="H106" s="169"/>
      <c r="I106" s="169"/>
    </row>
    <row r="107" spans="2:9" ht="14.25">
      <c r="B107" s="378" t="s">
        <v>177</v>
      </c>
      <c r="C107" s="400">
        <v>67902</v>
      </c>
      <c r="D107" s="380">
        <f>C107/C$110</f>
        <v>0.5880131974332551</v>
      </c>
      <c r="E107" s="169"/>
      <c r="F107" s="169"/>
      <c r="G107" s="169"/>
      <c r="H107" s="169"/>
      <c r="I107" s="169"/>
    </row>
    <row r="108" spans="2:9" ht="14.25">
      <c r="B108" s="381" t="s">
        <v>178</v>
      </c>
      <c r="C108" s="401">
        <v>43526</v>
      </c>
      <c r="D108" s="383">
        <f>C108/C$110</f>
        <v>0.3769235432163981</v>
      </c>
      <c r="E108" s="169"/>
      <c r="F108" s="169"/>
      <c r="G108" s="169"/>
      <c r="H108" s="169"/>
      <c r="I108" s="169"/>
    </row>
    <row r="109" spans="2:9" ht="15" thickBot="1">
      <c r="B109" s="384" t="s">
        <v>179</v>
      </c>
      <c r="C109" s="403">
        <v>4049</v>
      </c>
      <c r="D109" s="386">
        <f>C109/C$110</f>
        <v>0.03506325935034682</v>
      </c>
      <c r="E109" s="169"/>
      <c r="F109" s="169"/>
      <c r="G109" s="169"/>
      <c r="H109" s="169"/>
      <c r="I109" s="169"/>
    </row>
    <row r="110" spans="2:9" ht="15.75" thickBot="1">
      <c r="B110" s="370" t="s">
        <v>181</v>
      </c>
      <c r="C110" s="405">
        <v>115477</v>
      </c>
      <c r="D110" s="396">
        <f>C110/C111</f>
        <v>0.3689832566462168</v>
      </c>
      <c r="E110" s="169"/>
      <c r="F110" s="169"/>
      <c r="G110" s="169"/>
      <c r="H110" s="169"/>
      <c r="I110" s="169"/>
    </row>
    <row r="111" spans="2:9" ht="15">
      <c r="B111" s="406" t="s">
        <v>187</v>
      </c>
      <c r="C111" s="407">
        <f>C105+C110</f>
        <v>312960</v>
      </c>
      <c r="D111" s="406"/>
      <c r="E111" s="169"/>
      <c r="F111" s="169"/>
      <c r="G111" s="169"/>
      <c r="H111" s="169"/>
      <c r="I111" s="169"/>
    </row>
    <row r="112" spans="2:9" ht="12.75">
      <c r="B112" s="169"/>
      <c r="C112" s="169"/>
      <c r="D112" s="169"/>
      <c r="E112" s="169"/>
      <c r="F112" s="169"/>
      <c r="G112" s="169"/>
      <c r="H112" s="169"/>
      <c r="I112" s="169"/>
    </row>
    <row r="113" spans="2:9" ht="12.75">
      <c r="B113" s="169"/>
      <c r="C113" s="169"/>
      <c r="D113" s="169"/>
      <c r="E113" s="169"/>
      <c r="F113" s="169"/>
      <c r="G113" s="169"/>
      <c r="H113" s="169"/>
      <c r="I113" s="169"/>
    </row>
    <row r="114" spans="2:9" ht="18">
      <c r="B114" s="160" t="s">
        <v>197</v>
      </c>
      <c r="C114" s="160"/>
      <c r="D114" s="160"/>
      <c r="E114" s="160"/>
      <c r="F114" s="160"/>
      <c r="G114" s="169"/>
      <c r="H114" s="169"/>
      <c r="I114" s="169"/>
    </row>
    <row r="115" spans="2:9" ht="12.75">
      <c r="B115" s="169"/>
      <c r="C115" s="169"/>
      <c r="D115" s="169"/>
      <c r="E115" s="169"/>
      <c r="F115" s="169"/>
      <c r="G115" s="169"/>
      <c r="H115" s="169"/>
      <c r="I115" s="169"/>
    </row>
    <row r="116" spans="2:9" ht="15.75" thickBot="1">
      <c r="B116" s="370" t="s">
        <v>362</v>
      </c>
      <c r="C116" s="372" t="s">
        <v>361</v>
      </c>
      <c r="D116" s="372" t="s">
        <v>180</v>
      </c>
      <c r="E116" s="372" t="s">
        <v>118</v>
      </c>
      <c r="F116" s="169"/>
      <c r="G116" s="169"/>
      <c r="H116" s="169"/>
      <c r="I116" s="169"/>
    </row>
    <row r="117" spans="2:9" ht="14.25">
      <c r="B117" s="408" t="s">
        <v>53</v>
      </c>
      <c r="C117" s="379">
        <v>18136630.36</v>
      </c>
      <c r="D117" s="379">
        <v>6084571.15</v>
      </c>
      <c r="E117" s="379">
        <v>24221201.51</v>
      </c>
      <c r="F117" s="169"/>
      <c r="G117" s="169"/>
      <c r="H117" s="169"/>
      <c r="I117" s="169"/>
    </row>
    <row r="118" spans="2:9" ht="14.25">
      <c r="B118" s="409" t="s">
        <v>71</v>
      </c>
      <c r="C118" s="382">
        <v>3945811.94</v>
      </c>
      <c r="D118" s="382">
        <v>1343144.74</v>
      </c>
      <c r="E118" s="382">
        <v>5288956.68</v>
      </c>
      <c r="F118" s="169"/>
      <c r="G118" s="169"/>
      <c r="H118" s="169"/>
      <c r="I118" s="169"/>
    </row>
    <row r="119" spans="2:9" ht="14.25">
      <c r="B119" s="409" t="s">
        <v>87</v>
      </c>
      <c r="C119" s="382">
        <v>3066282.5</v>
      </c>
      <c r="D119" s="382">
        <v>1013827.79</v>
      </c>
      <c r="E119" s="382">
        <v>4080110.29</v>
      </c>
      <c r="F119" s="169"/>
      <c r="G119" s="169"/>
      <c r="H119" s="169"/>
      <c r="I119" s="169"/>
    </row>
    <row r="120" spans="2:9" ht="14.25">
      <c r="B120" s="409" t="s">
        <v>80</v>
      </c>
      <c r="C120" s="382">
        <v>2433608.63</v>
      </c>
      <c r="D120" s="382">
        <v>842687.11</v>
      </c>
      <c r="E120" s="382">
        <v>3276295.74</v>
      </c>
      <c r="F120" s="169"/>
      <c r="G120" s="169"/>
      <c r="H120" s="169"/>
      <c r="I120" s="169"/>
    </row>
    <row r="121" spans="2:9" ht="14.25">
      <c r="B121" s="409" t="s">
        <v>68</v>
      </c>
      <c r="C121" s="382">
        <v>2353217.9</v>
      </c>
      <c r="D121" s="382">
        <v>667219.76</v>
      </c>
      <c r="E121" s="382">
        <v>3020437.66</v>
      </c>
      <c r="F121" s="169"/>
      <c r="G121" s="169"/>
      <c r="H121" s="169"/>
      <c r="I121" s="169"/>
    </row>
    <row r="122" spans="2:9" ht="14.25">
      <c r="B122" s="409" t="s">
        <v>69</v>
      </c>
      <c r="C122" s="382">
        <v>2110424.07</v>
      </c>
      <c r="D122" s="382">
        <v>661686.94</v>
      </c>
      <c r="E122" s="382">
        <v>2772111.01</v>
      </c>
      <c r="F122" s="169"/>
      <c r="G122" s="169"/>
      <c r="H122" s="169"/>
      <c r="I122" s="169"/>
    </row>
    <row r="123" spans="2:9" ht="14.25">
      <c r="B123" s="409" t="s">
        <v>61</v>
      </c>
      <c r="C123" s="382">
        <v>2002352.42</v>
      </c>
      <c r="D123" s="382">
        <v>649098.86</v>
      </c>
      <c r="E123" s="382">
        <v>2651451.28</v>
      </c>
      <c r="F123" s="169"/>
      <c r="G123" s="169"/>
      <c r="H123" s="169"/>
      <c r="I123" s="169"/>
    </row>
    <row r="124" spans="2:9" ht="14.25">
      <c r="B124" s="409" t="s">
        <v>191</v>
      </c>
      <c r="C124" s="382">
        <v>1449014.51</v>
      </c>
      <c r="D124" s="382">
        <v>581667.38</v>
      </c>
      <c r="E124" s="382">
        <v>2030681.89</v>
      </c>
      <c r="F124" s="169"/>
      <c r="G124" s="169"/>
      <c r="H124" s="169"/>
      <c r="I124" s="169"/>
    </row>
    <row r="125" spans="2:9" ht="14.25">
      <c r="B125" s="409" t="s">
        <v>65</v>
      </c>
      <c r="C125" s="382">
        <v>1429993.1</v>
      </c>
      <c r="D125" s="382">
        <v>412148.7</v>
      </c>
      <c r="E125" s="382">
        <v>1842141.8</v>
      </c>
      <c r="F125" s="169"/>
      <c r="G125" s="169"/>
      <c r="H125" s="169"/>
      <c r="I125" s="169"/>
    </row>
    <row r="126" spans="2:9" ht="14.25">
      <c r="B126" s="409" t="s">
        <v>90</v>
      </c>
      <c r="C126" s="382">
        <v>1334173.02</v>
      </c>
      <c r="D126" s="382">
        <v>452230.62</v>
      </c>
      <c r="E126" s="382">
        <v>1786403.64</v>
      </c>
      <c r="F126" s="169"/>
      <c r="G126" s="169"/>
      <c r="H126" s="169"/>
      <c r="I126" s="169"/>
    </row>
    <row r="127" spans="2:9" ht="14.25">
      <c r="B127" s="409" t="s">
        <v>95</v>
      </c>
      <c r="C127" s="382">
        <v>1143425.96</v>
      </c>
      <c r="D127" s="382">
        <v>383332.99</v>
      </c>
      <c r="E127" s="382">
        <v>1526758.95</v>
      </c>
      <c r="F127" s="169"/>
      <c r="G127" s="169"/>
      <c r="H127" s="169"/>
      <c r="I127" s="169"/>
    </row>
    <row r="128" spans="2:9" ht="14.25">
      <c r="B128" s="409" t="s">
        <v>73</v>
      </c>
      <c r="C128" s="382">
        <v>974193.4</v>
      </c>
      <c r="D128" s="382">
        <v>431844.97</v>
      </c>
      <c r="E128" s="382">
        <v>1406038.37</v>
      </c>
      <c r="F128" s="169"/>
      <c r="G128" s="169"/>
      <c r="H128" s="169"/>
      <c r="I128" s="169"/>
    </row>
    <row r="129" spans="2:9" ht="14.25">
      <c r="B129" s="409" t="s">
        <v>63</v>
      </c>
      <c r="C129" s="382">
        <v>1059668.34</v>
      </c>
      <c r="D129" s="382">
        <v>292698.29</v>
      </c>
      <c r="E129" s="382">
        <v>1352366.63</v>
      </c>
      <c r="F129" s="169"/>
      <c r="G129" s="169"/>
      <c r="H129" s="169"/>
      <c r="I129" s="169"/>
    </row>
    <row r="130" spans="2:9" ht="15" thickBot="1">
      <c r="B130" s="410" t="s">
        <v>70</v>
      </c>
      <c r="C130" s="385">
        <v>675293.7</v>
      </c>
      <c r="D130" s="385">
        <v>235949.14</v>
      </c>
      <c r="E130" s="385">
        <v>911238.02</v>
      </c>
      <c r="F130" s="169"/>
      <c r="G130" s="169"/>
      <c r="H130" s="169"/>
      <c r="I130" s="169"/>
    </row>
    <row r="131" spans="2:9" ht="15">
      <c r="B131" s="394" t="s">
        <v>118</v>
      </c>
      <c r="C131" s="411">
        <v>42114089.85</v>
      </c>
      <c r="D131" s="411">
        <v>14052108.44</v>
      </c>
      <c r="E131" s="411">
        <v>56166193.47</v>
      </c>
      <c r="F131" s="169"/>
      <c r="G131" s="169"/>
      <c r="H131" s="169"/>
      <c r="I131" s="169"/>
    </row>
    <row r="132" spans="2:9" ht="12.75">
      <c r="B132" s="169"/>
      <c r="C132" s="169"/>
      <c r="D132" s="169"/>
      <c r="E132" s="412"/>
      <c r="F132" s="169"/>
      <c r="G132" s="169"/>
      <c r="H132" s="169"/>
      <c r="I132" s="169"/>
    </row>
    <row r="133" spans="2:9" ht="12.75">
      <c r="B133" s="169"/>
      <c r="C133" s="169"/>
      <c r="D133" s="169"/>
      <c r="E133" s="169"/>
      <c r="F133" s="169"/>
      <c r="G133" s="169"/>
      <c r="H133" s="169"/>
      <c r="I133" s="169"/>
    </row>
    <row r="134" spans="2:9" ht="18">
      <c r="B134" s="160" t="s">
        <v>363</v>
      </c>
      <c r="C134" s="160"/>
      <c r="D134" s="160"/>
      <c r="E134" s="160"/>
      <c r="F134" s="160"/>
      <c r="G134" s="169"/>
      <c r="H134" s="169"/>
      <c r="I134" s="169"/>
    </row>
    <row r="135" spans="2:9" ht="12.75">
      <c r="B135" s="169"/>
      <c r="C135" s="169"/>
      <c r="D135" s="169"/>
      <c r="E135" s="169"/>
      <c r="F135" s="169"/>
      <c r="G135" s="169"/>
      <c r="H135" s="169"/>
      <c r="I135" s="169"/>
    </row>
    <row r="136" spans="2:9" ht="15.75" thickBot="1">
      <c r="B136" s="399" t="s">
        <v>321</v>
      </c>
      <c r="C136" s="413" t="s">
        <v>195</v>
      </c>
      <c r="D136" s="413" t="s">
        <v>196</v>
      </c>
      <c r="E136" s="169"/>
      <c r="F136" s="169"/>
      <c r="G136" s="169"/>
      <c r="H136" s="169"/>
      <c r="I136" s="169"/>
    </row>
    <row r="137" spans="2:9" ht="15">
      <c r="B137" s="387" t="s">
        <v>53</v>
      </c>
      <c r="C137" s="414">
        <v>0.4429</v>
      </c>
      <c r="D137" s="414">
        <v>0.4312</v>
      </c>
      <c r="E137" s="169"/>
      <c r="F137" s="169"/>
      <c r="G137" s="169"/>
      <c r="H137" s="169"/>
      <c r="I137" s="169"/>
    </row>
    <row r="138" spans="2:9" ht="14.25">
      <c r="B138" s="415" t="s">
        <v>61</v>
      </c>
      <c r="C138" s="416">
        <v>0.0443</v>
      </c>
      <c r="D138" s="416">
        <v>0.0472</v>
      </c>
      <c r="E138" s="169"/>
      <c r="F138" s="169"/>
      <c r="G138" s="169"/>
      <c r="H138" s="169"/>
      <c r="I138" s="169"/>
    </row>
    <row r="139" spans="2:9" ht="14.25">
      <c r="B139" s="415" t="s">
        <v>63</v>
      </c>
      <c r="C139" s="416">
        <v>0.0217</v>
      </c>
      <c r="D139" s="416">
        <v>0.0241</v>
      </c>
      <c r="E139" s="169"/>
      <c r="F139" s="169"/>
      <c r="G139" s="169"/>
      <c r="H139" s="169"/>
      <c r="I139" s="169"/>
    </row>
    <row r="140" spans="2:9" ht="14.25">
      <c r="B140" s="415" t="s">
        <v>65</v>
      </c>
      <c r="C140" s="416">
        <v>0.0315</v>
      </c>
      <c r="D140" s="416">
        <v>0.0328</v>
      </c>
      <c r="E140" s="169"/>
      <c r="F140" s="169"/>
      <c r="G140" s="169"/>
      <c r="H140" s="169"/>
      <c r="I140" s="169"/>
    </row>
    <row r="141" spans="2:9" ht="14.25">
      <c r="B141" s="415" t="s">
        <v>68</v>
      </c>
      <c r="C141" s="416">
        <v>0.0532</v>
      </c>
      <c r="D141" s="416">
        <v>0.0538</v>
      </c>
      <c r="E141" s="169"/>
      <c r="F141" s="169"/>
      <c r="G141" s="169"/>
      <c r="H141" s="169"/>
      <c r="I141" s="169"/>
    </row>
    <row r="142" spans="2:9" ht="14.25">
      <c r="B142" s="415" t="s">
        <v>293</v>
      </c>
      <c r="C142" s="416">
        <v>0.0398</v>
      </c>
      <c r="D142" s="416">
        <v>0.0362</v>
      </c>
      <c r="E142" s="169"/>
      <c r="F142" s="169"/>
      <c r="G142" s="169"/>
      <c r="H142" s="169"/>
      <c r="I142" s="169"/>
    </row>
    <row r="143" spans="2:9" ht="14.25">
      <c r="B143" s="415" t="s">
        <v>69</v>
      </c>
      <c r="C143" s="416">
        <v>0.0488</v>
      </c>
      <c r="D143" s="416">
        <v>0.0494</v>
      </c>
      <c r="E143" s="169"/>
      <c r="F143" s="169"/>
      <c r="G143" s="169"/>
      <c r="H143" s="169"/>
      <c r="I143" s="169"/>
    </row>
    <row r="144" spans="2:9" ht="14.25">
      <c r="B144" s="415" t="s">
        <v>70</v>
      </c>
      <c r="C144" s="416">
        <v>0.0144</v>
      </c>
      <c r="D144" s="416">
        <v>0.0162</v>
      </c>
      <c r="E144" s="169"/>
      <c r="F144" s="169"/>
      <c r="G144" s="169"/>
      <c r="H144" s="169"/>
      <c r="I144" s="169"/>
    </row>
    <row r="145" spans="2:9" ht="15">
      <c r="B145" s="417" t="s">
        <v>193</v>
      </c>
      <c r="C145" s="418">
        <f>SUM(C138:C144)</f>
        <v>0.25370000000000004</v>
      </c>
      <c r="D145" s="418">
        <f>SUM(D138:D144)</f>
        <v>0.2597</v>
      </c>
      <c r="E145" s="169"/>
      <c r="F145" s="169"/>
      <c r="G145" s="169"/>
      <c r="H145" s="169"/>
      <c r="I145" s="169"/>
    </row>
    <row r="146" spans="2:9" ht="14.25">
      <c r="B146" s="415" t="s">
        <v>71</v>
      </c>
      <c r="C146" s="416">
        <v>0.0939</v>
      </c>
      <c r="D146" s="416">
        <v>0.0942</v>
      </c>
      <c r="E146" s="169"/>
      <c r="F146" s="169"/>
      <c r="G146" s="169"/>
      <c r="H146" s="169"/>
      <c r="I146" s="169"/>
    </row>
    <row r="147" spans="2:9" ht="14.25">
      <c r="B147" s="415" t="s">
        <v>73</v>
      </c>
      <c r="C147" s="416">
        <v>0.0249</v>
      </c>
      <c r="D147" s="416">
        <v>0.025</v>
      </c>
      <c r="E147" s="169"/>
      <c r="F147" s="169"/>
      <c r="G147" s="169"/>
      <c r="H147" s="169"/>
      <c r="I147" s="169"/>
    </row>
    <row r="148" spans="2:9" ht="15">
      <c r="B148" s="417" t="s">
        <v>71</v>
      </c>
      <c r="C148" s="418">
        <f>SUM(C146:C147)</f>
        <v>0.11879999999999999</v>
      </c>
      <c r="D148" s="418">
        <f>SUM(D146:D147)</f>
        <v>0.1192</v>
      </c>
      <c r="E148" s="169"/>
      <c r="F148" s="169"/>
      <c r="G148" s="169"/>
      <c r="H148" s="169"/>
      <c r="I148" s="169"/>
    </row>
    <row r="149" spans="2:9" ht="14.25">
      <c r="B149" s="415" t="s">
        <v>80</v>
      </c>
      <c r="C149" s="416">
        <v>0.0606</v>
      </c>
      <c r="D149" s="416">
        <v>0.0583</v>
      </c>
      <c r="E149" s="169"/>
      <c r="F149" s="169"/>
      <c r="G149" s="169"/>
      <c r="H149" s="169"/>
      <c r="I149" s="169"/>
    </row>
    <row r="150" spans="2:9" ht="15">
      <c r="B150" s="417" t="s">
        <v>80</v>
      </c>
      <c r="C150" s="418">
        <f>SUM(C149)</f>
        <v>0.0606</v>
      </c>
      <c r="D150" s="418">
        <f>SUM(D149)</f>
        <v>0.0583</v>
      </c>
      <c r="E150" s="169"/>
      <c r="F150" s="169"/>
      <c r="G150" s="169"/>
      <c r="H150" s="169"/>
      <c r="I150" s="169"/>
    </row>
    <row r="151" spans="2:9" ht="14.25">
      <c r="B151" s="415" t="s">
        <v>87</v>
      </c>
      <c r="C151" s="416">
        <v>0.0692</v>
      </c>
      <c r="D151" s="416">
        <v>0.0726</v>
      </c>
      <c r="E151" s="169"/>
      <c r="F151" s="169"/>
      <c r="G151" s="169"/>
      <c r="H151" s="169"/>
      <c r="I151" s="169"/>
    </row>
    <row r="152" spans="2:9" ht="14.25">
      <c r="B152" s="415" t="s">
        <v>90</v>
      </c>
      <c r="C152" s="416">
        <v>0.0299</v>
      </c>
      <c r="D152" s="416">
        <v>0.0318</v>
      </c>
      <c r="E152" s="169"/>
      <c r="F152" s="169"/>
      <c r="G152" s="169"/>
      <c r="H152" s="169"/>
      <c r="I152" s="169"/>
    </row>
    <row r="153" spans="2:9" ht="15">
      <c r="B153" s="417" t="s">
        <v>87</v>
      </c>
      <c r="C153" s="418">
        <f>SUM(C151:C152)</f>
        <v>0.0991</v>
      </c>
      <c r="D153" s="418">
        <f>SUM(D151:D152)</f>
        <v>0.10439999999999999</v>
      </c>
      <c r="E153" s="169"/>
      <c r="F153" s="169"/>
      <c r="G153" s="169"/>
      <c r="H153" s="169"/>
      <c r="I153" s="169"/>
    </row>
    <row r="154" spans="2:9" ht="14.25">
      <c r="B154" s="415" t="s">
        <v>95</v>
      </c>
      <c r="C154" s="416">
        <v>0.0248</v>
      </c>
      <c r="D154" s="416">
        <v>0.0272</v>
      </c>
      <c r="E154" s="169"/>
      <c r="F154" s="169"/>
      <c r="G154" s="169"/>
      <c r="H154" s="169"/>
      <c r="I154" s="169"/>
    </row>
    <row r="155" spans="2:9" ht="15.75" thickBot="1">
      <c r="B155" s="390" t="s">
        <v>92</v>
      </c>
      <c r="C155" s="419">
        <f>SUM(C154)</f>
        <v>0.0248</v>
      </c>
      <c r="D155" s="419">
        <f>SUM(D154)</f>
        <v>0.0272</v>
      </c>
      <c r="E155" s="169"/>
      <c r="F155" s="169"/>
      <c r="G155" s="169"/>
      <c r="H155" s="169"/>
      <c r="I155" s="169"/>
    </row>
    <row r="156" spans="2:9" ht="12.75">
      <c r="B156" s="169"/>
      <c r="C156" s="169"/>
      <c r="D156" s="169"/>
      <c r="E156" s="169"/>
      <c r="F156" s="169"/>
      <c r="G156" s="169"/>
      <c r="H156" s="169"/>
      <c r="I156" s="169"/>
    </row>
    <row r="157" spans="2:9" ht="12.75">
      <c r="B157" s="169"/>
      <c r="C157" s="169"/>
      <c r="D157" s="169"/>
      <c r="E157" s="169"/>
      <c r="F157" s="169"/>
      <c r="G157" s="169"/>
      <c r="H157" s="169"/>
      <c r="I157" s="169"/>
    </row>
    <row r="158" spans="2:9" ht="12.75">
      <c r="B158" s="169"/>
      <c r="C158" s="169"/>
      <c r="D158" s="169"/>
      <c r="E158" s="169"/>
      <c r="F158" s="169"/>
      <c r="G158" s="169"/>
      <c r="H158" s="169"/>
      <c r="I158" s="169"/>
    </row>
    <row r="159" spans="2:9" ht="15">
      <c r="B159" s="420"/>
      <c r="C159" s="421" t="s">
        <v>192</v>
      </c>
      <c r="D159" s="169"/>
      <c r="E159" s="169"/>
      <c r="F159" s="169"/>
      <c r="G159" s="169"/>
      <c r="H159" s="169"/>
      <c r="I159" s="169"/>
    </row>
    <row r="160" spans="2:9" ht="15">
      <c r="B160" s="422" t="s">
        <v>53</v>
      </c>
      <c r="C160" s="423">
        <v>0.4429</v>
      </c>
      <c r="D160" s="169"/>
      <c r="E160" s="169"/>
      <c r="F160" s="169"/>
      <c r="G160" s="169"/>
      <c r="H160" s="169"/>
      <c r="I160" s="169"/>
    </row>
    <row r="161" spans="2:9" ht="15">
      <c r="B161" s="422" t="str">
        <f>B145</f>
        <v>Resta Barcelona</v>
      </c>
      <c r="C161" s="423">
        <f>C145</f>
        <v>0.25370000000000004</v>
      </c>
      <c r="D161" s="169"/>
      <c r="E161" s="169"/>
      <c r="F161" s="169"/>
      <c r="G161" s="169"/>
      <c r="H161" s="169"/>
      <c r="I161" s="169"/>
    </row>
    <row r="162" spans="2:9" ht="15">
      <c r="B162" s="422" t="s">
        <v>71</v>
      </c>
      <c r="C162" s="423">
        <v>0.11879999999999999</v>
      </c>
      <c r="D162" s="169"/>
      <c r="E162" s="169"/>
      <c r="F162" s="169"/>
      <c r="G162" s="169"/>
      <c r="H162" s="169"/>
      <c r="I162" s="169"/>
    </row>
    <row r="163" spans="2:9" ht="15">
      <c r="B163" s="422" t="s">
        <v>87</v>
      </c>
      <c r="C163" s="423">
        <v>0.0991</v>
      </c>
      <c r="D163" s="169"/>
      <c r="E163" s="169"/>
      <c r="F163" s="169"/>
      <c r="G163" s="169"/>
      <c r="H163" s="169"/>
      <c r="I163" s="169"/>
    </row>
    <row r="164" spans="2:9" ht="15">
      <c r="B164" s="422" t="s">
        <v>80</v>
      </c>
      <c r="C164" s="423">
        <v>0.0606</v>
      </c>
      <c r="D164" s="169"/>
      <c r="E164" s="169"/>
      <c r="F164" s="169"/>
      <c r="G164" s="169"/>
      <c r="H164" s="169"/>
      <c r="I164" s="169"/>
    </row>
    <row r="165" spans="2:9" ht="15">
      <c r="B165" s="422" t="s">
        <v>92</v>
      </c>
      <c r="C165" s="423">
        <v>0.0248</v>
      </c>
      <c r="D165" s="169"/>
      <c r="E165" s="169"/>
      <c r="F165" s="169"/>
      <c r="G165" s="169"/>
      <c r="H165" s="169"/>
      <c r="I165" s="169"/>
    </row>
    <row r="166" spans="2:9" ht="12.75">
      <c r="B166" s="169"/>
      <c r="C166" s="169"/>
      <c r="D166" s="169"/>
      <c r="E166" s="169"/>
      <c r="F166" s="169"/>
      <c r="G166" s="169"/>
      <c r="H166" s="169"/>
      <c r="I166" s="169"/>
    </row>
    <row r="167" spans="2:9" ht="12.75">
      <c r="B167" s="169"/>
      <c r="C167" s="169"/>
      <c r="D167" s="169"/>
      <c r="E167" s="169"/>
      <c r="F167" s="169"/>
      <c r="G167" s="169"/>
      <c r="H167" s="169"/>
      <c r="I167" s="169"/>
    </row>
    <row r="168" spans="2:9" ht="12.75">
      <c r="B168" s="169"/>
      <c r="C168" s="169"/>
      <c r="D168" s="169"/>
      <c r="E168" s="169"/>
      <c r="F168" s="169"/>
      <c r="G168" s="169"/>
      <c r="H168" s="169"/>
      <c r="I168" s="169"/>
    </row>
    <row r="169" spans="2:9" ht="12.75">
      <c r="B169" s="169"/>
      <c r="C169" s="169"/>
      <c r="D169" s="169"/>
      <c r="E169" s="169"/>
      <c r="F169" s="169"/>
      <c r="G169" s="169"/>
      <c r="H169" s="169"/>
      <c r="I169" s="169"/>
    </row>
    <row r="170" spans="2:9" ht="12.75">
      <c r="B170" s="169"/>
      <c r="C170" s="169"/>
      <c r="D170" s="169"/>
      <c r="E170" s="169"/>
      <c r="F170" s="169"/>
      <c r="G170" s="169"/>
      <c r="H170" s="169"/>
      <c r="I170" s="169"/>
    </row>
    <row r="171" spans="2:9" ht="12.75">
      <c r="B171" s="169"/>
      <c r="C171" s="169"/>
      <c r="D171" s="169"/>
      <c r="E171" s="169"/>
      <c r="F171" s="169"/>
      <c r="G171" s="169"/>
      <c r="H171" s="169"/>
      <c r="I171" s="169"/>
    </row>
    <row r="172" spans="2:9" ht="12.75">
      <c r="B172" s="169"/>
      <c r="C172" s="169"/>
      <c r="D172" s="169"/>
      <c r="E172" s="169"/>
      <c r="F172" s="169"/>
      <c r="G172" s="169"/>
      <c r="H172" s="169"/>
      <c r="I172" s="169"/>
    </row>
    <row r="173" spans="2:9" ht="12.75">
      <c r="B173" s="169"/>
      <c r="C173" s="169"/>
      <c r="D173" s="169"/>
      <c r="E173" s="169"/>
      <c r="F173" s="169"/>
      <c r="G173" s="169"/>
      <c r="H173" s="169"/>
      <c r="I173" s="169"/>
    </row>
    <row r="174" spans="2:9" ht="12.75">
      <c r="B174" s="169"/>
      <c r="C174" s="169"/>
      <c r="D174" s="169"/>
      <c r="E174" s="169"/>
      <c r="F174" s="169"/>
      <c r="G174" s="169"/>
      <c r="H174" s="169"/>
      <c r="I174" s="169"/>
    </row>
    <row r="175" spans="2:9" ht="12.75">
      <c r="B175" s="169"/>
      <c r="C175" s="169"/>
      <c r="D175" s="169"/>
      <c r="E175" s="169"/>
      <c r="F175" s="169"/>
      <c r="G175" s="169"/>
      <c r="H175" s="169"/>
      <c r="I175" s="169"/>
    </row>
    <row r="176" spans="2:9" ht="12.75">
      <c r="B176" s="169"/>
      <c r="C176" s="169"/>
      <c r="D176" s="169"/>
      <c r="E176" s="169"/>
      <c r="F176" s="169"/>
      <c r="G176" s="169"/>
      <c r="H176" s="169"/>
      <c r="I176" s="169"/>
    </row>
    <row r="177" spans="2:9" ht="12.75">
      <c r="B177" s="169"/>
      <c r="C177" s="169"/>
      <c r="D177" s="169"/>
      <c r="E177" s="169"/>
      <c r="F177" s="169"/>
      <c r="G177" s="169"/>
      <c r="H177" s="169"/>
      <c r="I177" s="169"/>
    </row>
    <row r="178" spans="2:9" ht="12.75">
      <c r="B178" s="169"/>
      <c r="C178" s="169"/>
      <c r="D178" s="169"/>
      <c r="E178" s="169"/>
      <c r="F178" s="169"/>
      <c r="G178" s="169"/>
      <c r="H178" s="169"/>
      <c r="I178" s="169"/>
    </row>
    <row r="179" spans="2:9" ht="12.75">
      <c r="B179" s="169"/>
      <c r="C179" s="169"/>
      <c r="D179" s="169"/>
      <c r="E179" s="169"/>
      <c r="F179" s="169"/>
      <c r="G179" s="169"/>
      <c r="H179" s="169"/>
      <c r="I179" s="169"/>
    </row>
    <row r="180" spans="2:9" ht="12.75">
      <c r="B180" s="169"/>
      <c r="C180" s="169"/>
      <c r="D180" s="169"/>
      <c r="E180" s="169"/>
      <c r="F180" s="169"/>
      <c r="G180" s="169"/>
      <c r="H180" s="169"/>
      <c r="I180" s="169"/>
    </row>
    <row r="181" spans="2:9" ht="12.75">
      <c r="B181" s="169"/>
      <c r="C181" s="169"/>
      <c r="D181" s="169"/>
      <c r="E181" s="169"/>
      <c r="F181" s="169"/>
      <c r="G181" s="169"/>
      <c r="H181" s="169"/>
      <c r="I181" s="169"/>
    </row>
    <row r="182" spans="2:9" ht="18">
      <c r="B182" s="160" t="s">
        <v>364</v>
      </c>
      <c r="C182" s="160"/>
      <c r="D182" s="160"/>
      <c r="E182" s="160"/>
      <c r="F182" s="160"/>
      <c r="G182" s="169"/>
      <c r="H182" s="169"/>
      <c r="I182" s="169"/>
    </row>
    <row r="183" spans="2:9" ht="12.75">
      <c r="B183" s="169"/>
      <c r="C183" s="169"/>
      <c r="D183" s="169"/>
      <c r="E183" s="169"/>
      <c r="F183" s="169"/>
      <c r="G183" s="169"/>
      <c r="H183" s="169"/>
      <c r="I183" s="169"/>
    </row>
    <row r="184" spans="2:9" ht="15.75" thickBot="1">
      <c r="B184" s="397"/>
      <c r="C184" s="398" t="s">
        <v>322</v>
      </c>
      <c r="D184" s="398" t="s">
        <v>190</v>
      </c>
      <c r="E184" s="169"/>
      <c r="F184" s="169"/>
      <c r="G184" s="169"/>
      <c r="H184" s="169"/>
      <c r="I184" s="169"/>
    </row>
    <row r="185" spans="2:9" ht="15.75" thickBot="1">
      <c r="B185" s="399" t="s">
        <v>185</v>
      </c>
      <c r="C185" s="399"/>
      <c r="D185" s="399"/>
      <c r="E185" s="169"/>
      <c r="F185" s="169"/>
      <c r="G185" s="169"/>
      <c r="H185" s="169"/>
      <c r="I185" s="169"/>
    </row>
    <row r="186" spans="2:9" ht="14.25">
      <c r="B186" s="378" t="s">
        <v>149</v>
      </c>
      <c r="C186" s="400">
        <f>153155*0.7086</f>
        <v>108525.633</v>
      </c>
      <c r="D186" s="424">
        <f>C186/C$189</f>
        <v>0.708061123668344</v>
      </c>
      <c r="E186" s="169"/>
      <c r="F186" s="169"/>
      <c r="G186" s="169"/>
      <c r="H186" s="169"/>
      <c r="I186" s="169"/>
    </row>
    <row r="187" spans="2:9" ht="14.25">
      <c r="B187" s="381" t="s">
        <v>148</v>
      </c>
      <c r="C187" s="425">
        <f>153555*0.2837</f>
        <v>43563.5535</v>
      </c>
      <c r="D187" s="426">
        <f>C187/C$189</f>
        <v>0.2842246369776624</v>
      </c>
      <c r="E187" s="169"/>
      <c r="F187" s="169"/>
      <c r="G187" s="169"/>
      <c r="H187" s="169"/>
      <c r="I187" s="169"/>
    </row>
    <row r="188" spans="2:9" ht="14.25">
      <c r="B188" s="381" t="s">
        <v>182</v>
      </c>
      <c r="C188" s="401">
        <f>153555*0.0077</f>
        <v>1182.3735000000001</v>
      </c>
      <c r="D188" s="426">
        <f>C188/C$189</f>
        <v>0.007714239353993658</v>
      </c>
      <c r="E188" s="169"/>
      <c r="F188" s="169"/>
      <c r="G188" s="169"/>
      <c r="H188" s="169"/>
      <c r="I188" s="169"/>
    </row>
    <row r="189" spans="2:9" ht="12.75">
      <c r="B189" s="427" t="s">
        <v>186</v>
      </c>
      <c r="C189" s="428">
        <f>SUM(C186:C188)</f>
        <v>153271.56</v>
      </c>
      <c r="D189" s="429"/>
      <c r="E189" s="169"/>
      <c r="F189" s="169"/>
      <c r="G189" s="169"/>
      <c r="H189" s="169"/>
      <c r="I189" s="169"/>
    </row>
    <row r="190" spans="2:9" ht="12.75">
      <c r="B190" s="159"/>
      <c r="C190" s="169"/>
      <c r="D190" s="169"/>
      <c r="E190" s="169"/>
      <c r="F190" s="169"/>
      <c r="G190" s="169"/>
      <c r="H190" s="169"/>
      <c r="I190" s="169"/>
    </row>
    <row r="191" spans="2:9" ht="12.75">
      <c r="B191" s="169"/>
      <c r="C191" s="169"/>
      <c r="D191" s="169"/>
      <c r="E191" s="169"/>
      <c r="F191" s="169"/>
      <c r="G191" s="169"/>
      <c r="H191" s="169"/>
      <c r="I191" s="169"/>
    </row>
    <row r="192" spans="2:9" ht="12.75">
      <c r="B192" s="169"/>
      <c r="C192" s="169"/>
      <c r="D192" s="169"/>
      <c r="E192" s="169"/>
      <c r="F192" s="169"/>
      <c r="G192" s="169"/>
      <c r="H192" s="169"/>
      <c r="I192" s="169"/>
    </row>
    <row r="193" spans="2:9" ht="18">
      <c r="B193" s="160" t="s">
        <v>365</v>
      </c>
      <c r="C193" s="160"/>
      <c r="D193" s="160"/>
      <c r="E193" s="160"/>
      <c r="F193" s="160"/>
      <c r="G193" s="169"/>
      <c r="H193" s="169"/>
      <c r="I193" s="169"/>
    </row>
    <row r="194" spans="2:9" ht="12.75">
      <c r="B194" s="169"/>
      <c r="C194" s="169"/>
      <c r="D194" s="169"/>
      <c r="E194" s="169"/>
      <c r="F194" s="169"/>
      <c r="G194" s="169"/>
      <c r="H194" s="169"/>
      <c r="I194" s="169"/>
    </row>
    <row r="195" spans="2:9" ht="15.75" thickBot="1">
      <c r="B195" s="430" t="s">
        <v>321</v>
      </c>
      <c r="C195" s="431" t="s">
        <v>195</v>
      </c>
      <c r="D195" s="431" t="s">
        <v>196</v>
      </c>
      <c r="E195" s="169"/>
      <c r="F195" s="169"/>
      <c r="G195" s="169"/>
      <c r="H195" s="169"/>
      <c r="I195" s="169"/>
    </row>
    <row r="196" spans="2:9" ht="15">
      <c r="B196" s="432" t="s">
        <v>53</v>
      </c>
      <c r="C196" s="433">
        <v>0.5506</v>
      </c>
      <c r="D196" s="433">
        <v>0.561</v>
      </c>
      <c r="E196" s="169"/>
      <c r="F196" s="169"/>
      <c r="G196" s="169"/>
      <c r="H196" s="169"/>
      <c r="I196" s="169"/>
    </row>
    <row r="197" spans="2:9" ht="14.25">
      <c r="B197" s="415" t="s">
        <v>63</v>
      </c>
      <c r="C197" s="416">
        <v>0.034</v>
      </c>
      <c r="D197" s="416">
        <v>0.0369</v>
      </c>
      <c r="E197" s="169"/>
      <c r="F197" s="169"/>
      <c r="G197" s="169"/>
      <c r="H197" s="169"/>
      <c r="I197" s="169"/>
    </row>
    <row r="198" spans="2:9" ht="14.25">
      <c r="B198" s="434" t="s">
        <v>65</v>
      </c>
      <c r="C198" s="435">
        <v>0.0673</v>
      </c>
      <c r="D198" s="435">
        <v>0.0696</v>
      </c>
      <c r="E198" s="169"/>
      <c r="F198" s="169"/>
      <c r="G198" s="169"/>
      <c r="H198" s="169"/>
      <c r="I198" s="169"/>
    </row>
    <row r="199" spans="2:9" ht="14.25">
      <c r="B199" s="415" t="s">
        <v>69</v>
      </c>
      <c r="C199" s="416">
        <v>0.0546</v>
      </c>
      <c r="D199" s="416">
        <v>0.0584</v>
      </c>
      <c r="E199" s="169"/>
      <c r="F199" s="169"/>
      <c r="G199" s="169"/>
      <c r="H199" s="169"/>
      <c r="I199" s="169"/>
    </row>
    <row r="200" spans="2:9" ht="15">
      <c r="B200" s="436" t="s">
        <v>193</v>
      </c>
      <c r="C200" s="437">
        <f>SUM(C197:C199)</f>
        <v>0.1559</v>
      </c>
      <c r="D200" s="437">
        <f>SUM(D197:D199)</f>
        <v>0.1649</v>
      </c>
      <c r="E200" s="169"/>
      <c r="F200" s="169"/>
      <c r="G200" s="169"/>
      <c r="H200" s="169"/>
      <c r="I200" s="169"/>
    </row>
    <row r="201" spans="2:9" ht="14.25">
      <c r="B201" s="415" t="s">
        <v>71</v>
      </c>
      <c r="C201" s="416">
        <v>0.1206</v>
      </c>
      <c r="D201" s="416">
        <v>0.1061</v>
      </c>
      <c r="E201" s="169"/>
      <c r="F201" s="169"/>
      <c r="G201" s="169"/>
      <c r="H201" s="169"/>
      <c r="I201" s="169"/>
    </row>
    <row r="202" spans="2:9" ht="15">
      <c r="B202" s="436" t="s">
        <v>71</v>
      </c>
      <c r="C202" s="437">
        <f>SUM(C201)</f>
        <v>0.1206</v>
      </c>
      <c r="D202" s="437">
        <f>SUM(D201)</f>
        <v>0.1061</v>
      </c>
      <c r="E202" s="169"/>
      <c r="F202" s="169"/>
      <c r="G202" s="169"/>
      <c r="H202" s="169"/>
      <c r="I202" s="169"/>
    </row>
    <row r="203" spans="2:9" ht="14.25">
      <c r="B203" s="415" t="s">
        <v>80</v>
      </c>
      <c r="C203" s="416">
        <v>0.0467</v>
      </c>
      <c r="D203" s="416">
        <v>0.0405</v>
      </c>
      <c r="E203" s="169"/>
      <c r="F203" s="169"/>
      <c r="G203" s="169"/>
      <c r="H203" s="169"/>
      <c r="I203" s="169"/>
    </row>
    <row r="204" spans="2:9" ht="15">
      <c r="B204" s="436" t="s">
        <v>80</v>
      </c>
      <c r="C204" s="437">
        <f>SUM(C203)</f>
        <v>0.0467</v>
      </c>
      <c r="D204" s="437">
        <f>SUM(D203)</f>
        <v>0.0405</v>
      </c>
      <c r="E204" s="169"/>
      <c r="F204" s="169"/>
      <c r="G204" s="169"/>
      <c r="H204" s="169"/>
      <c r="I204" s="169"/>
    </row>
    <row r="205" spans="2:9" ht="14.25">
      <c r="B205" s="415" t="s">
        <v>87</v>
      </c>
      <c r="C205" s="416">
        <v>0.0731</v>
      </c>
      <c r="D205" s="416">
        <v>0.0724</v>
      </c>
      <c r="E205" s="169"/>
      <c r="F205" s="169"/>
      <c r="G205" s="169"/>
      <c r="H205" s="169"/>
      <c r="I205" s="169"/>
    </row>
    <row r="206" spans="2:9" ht="14.25">
      <c r="B206" s="415" t="s">
        <v>90</v>
      </c>
      <c r="C206" s="416">
        <v>0.0336</v>
      </c>
      <c r="D206" s="416">
        <v>0.0314</v>
      </c>
      <c r="E206" s="169"/>
      <c r="F206" s="169"/>
      <c r="G206" s="169"/>
      <c r="H206" s="169"/>
      <c r="I206" s="169"/>
    </row>
    <row r="207" spans="2:9" ht="15">
      <c r="B207" s="436" t="s">
        <v>87</v>
      </c>
      <c r="C207" s="437">
        <f>SUM(C205:C206)</f>
        <v>0.10669999999999999</v>
      </c>
      <c r="D207" s="437">
        <f>SUM(D205:D206)</f>
        <v>0.1038</v>
      </c>
      <c r="E207" s="169"/>
      <c r="F207" s="169"/>
      <c r="G207" s="169"/>
      <c r="H207" s="169"/>
      <c r="I207" s="169"/>
    </row>
    <row r="208" spans="2:9" ht="14.25">
      <c r="B208" s="415" t="s">
        <v>95</v>
      </c>
      <c r="C208" s="416">
        <v>0.0195</v>
      </c>
      <c r="D208" s="416">
        <v>0.0236</v>
      </c>
      <c r="E208" s="169"/>
      <c r="F208" s="169"/>
      <c r="G208" s="169"/>
      <c r="H208" s="169"/>
      <c r="I208" s="169"/>
    </row>
    <row r="209" spans="2:9" ht="15.75" thickBot="1">
      <c r="B209" s="360" t="s">
        <v>92</v>
      </c>
      <c r="C209" s="438">
        <f>SUM(C208)</f>
        <v>0.0195</v>
      </c>
      <c r="D209" s="438">
        <f>SUM(D208)</f>
        <v>0.0236</v>
      </c>
      <c r="E209" s="169"/>
      <c r="F209" s="169"/>
      <c r="G209" s="169"/>
      <c r="H209" s="169"/>
      <c r="I209" s="169"/>
    </row>
    <row r="210" spans="2:9" ht="15">
      <c r="B210" s="169"/>
      <c r="C210" s="439"/>
      <c r="D210" s="439"/>
      <c r="E210" s="169"/>
      <c r="F210" s="169"/>
      <c r="G210" s="169"/>
      <c r="H210" s="169"/>
      <c r="I210" s="169"/>
    </row>
    <row r="211" spans="2:9" ht="12.75">
      <c r="B211" s="169"/>
      <c r="C211" s="169"/>
      <c r="D211" s="169"/>
      <c r="E211" s="169"/>
      <c r="F211" s="169"/>
      <c r="G211" s="169"/>
      <c r="H211" s="169"/>
      <c r="I211" s="169"/>
    </row>
    <row r="212" spans="2:9" ht="12.75">
      <c r="B212" s="169"/>
      <c r="C212" s="169"/>
      <c r="D212" s="169"/>
      <c r="E212" s="169"/>
      <c r="F212" s="169"/>
      <c r="G212" s="169"/>
      <c r="H212" s="169"/>
      <c r="I212" s="169"/>
    </row>
    <row r="213" spans="2:9" ht="12.75">
      <c r="B213" s="169"/>
      <c r="C213" s="169"/>
      <c r="D213" s="169"/>
      <c r="E213" s="169"/>
      <c r="F213" s="169"/>
      <c r="G213" s="169"/>
      <c r="H213" s="169"/>
      <c r="I213" s="169"/>
    </row>
    <row r="214" spans="2:9" ht="12.75">
      <c r="B214" s="169"/>
      <c r="C214" s="169"/>
      <c r="D214" s="169"/>
      <c r="E214" s="169"/>
      <c r="F214" s="169"/>
      <c r="G214" s="169"/>
      <c r="H214" s="169"/>
      <c r="I214" s="169"/>
    </row>
    <row r="215" spans="2:9" ht="12.75">
      <c r="B215" s="169"/>
      <c r="C215" s="169"/>
      <c r="D215" s="169"/>
      <c r="E215" s="169"/>
      <c r="F215" s="169"/>
      <c r="G215" s="169"/>
      <c r="H215" s="169"/>
      <c r="I215" s="169"/>
    </row>
    <row r="216" spans="2:9" ht="15">
      <c r="B216" s="420"/>
      <c r="C216" s="421" t="s">
        <v>192</v>
      </c>
      <c r="D216" s="169"/>
      <c r="E216" s="169"/>
      <c r="F216" s="169"/>
      <c r="G216" s="169"/>
      <c r="H216" s="169"/>
      <c r="I216" s="169"/>
    </row>
    <row r="217" spans="2:9" ht="15">
      <c r="B217" s="422" t="s">
        <v>53</v>
      </c>
      <c r="C217" s="423">
        <v>0.5506</v>
      </c>
      <c r="D217" s="169"/>
      <c r="E217" s="169"/>
      <c r="F217" s="169"/>
      <c r="G217" s="169"/>
      <c r="H217" s="169"/>
      <c r="I217" s="169"/>
    </row>
    <row r="218" spans="2:9" ht="15">
      <c r="B218" s="422" t="s">
        <v>199</v>
      </c>
      <c r="C218" s="423">
        <v>0.1559</v>
      </c>
      <c r="D218" s="169"/>
      <c r="E218" s="169"/>
      <c r="F218" s="169"/>
      <c r="G218" s="169"/>
      <c r="H218" s="169"/>
      <c r="I218" s="169"/>
    </row>
    <row r="219" spans="2:9" ht="15">
      <c r="B219" s="422" t="s">
        <v>71</v>
      </c>
      <c r="C219" s="423">
        <v>0.1206</v>
      </c>
      <c r="D219" s="169"/>
      <c r="E219" s="169"/>
      <c r="F219" s="169"/>
      <c r="G219" s="169"/>
      <c r="H219" s="169"/>
      <c r="I219" s="169"/>
    </row>
    <row r="220" spans="2:9" ht="15">
      <c r="B220" s="422" t="s">
        <v>87</v>
      </c>
      <c r="C220" s="423">
        <v>0.1067</v>
      </c>
      <c r="D220" s="169"/>
      <c r="E220" s="169"/>
      <c r="F220" s="169"/>
      <c r="G220" s="169"/>
      <c r="H220" s="169"/>
      <c r="I220" s="169"/>
    </row>
    <row r="221" spans="2:9" ht="15">
      <c r="B221" s="422" t="s">
        <v>80</v>
      </c>
      <c r="C221" s="423">
        <v>0.0467</v>
      </c>
      <c r="D221" s="169"/>
      <c r="E221" s="169"/>
      <c r="F221" s="169"/>
      <c r="G221" s="169"/>
      <c r="H221" s="169"/>
      <c r="I221" s="169"/>
    </row>
    <row r="222" spans="2:9" ht="15">
      <c r="B222" s="422" t="s">
        <v>92</v>
      </c>
      <c r="C222" s="423">
        <v>0.0195</v>
      </c>
      <c r="D222" s="169"/>
      <c r="E222" s="169"/>
      <c r="F222" s="169"/>
      <c r="G222" s="169"/>
      <c r="H222" s="169"/>
      <c r="I222" s="169"/>
    </row>
    <row r="223" spans="2:9" ht="15">
      <c r="B223" s="169"/>
      <c r="C223" s="440">
        <f>SUM(C217:C222)</f>
        <v>1</v>
      </c>
      <c r="D223" s="169"/>
      <c r="E223" s="169"/>
      <c r="F223" s="169"/>
      <c r="G223" s="169"/>
      <c r="H223" s="169"/>
      <c r="I223" s="169"/>
    </row>
    <row r="224" spans="2:9" ht="12.75">
      <c r="B224" s="169"/>
      <c r="C224" s="169"/>
      <c r="D224" s="169"/>
      <c r="E224" s="169"/>
      <c r="F224" s="169"/>
      <c r="G224" s="169"/>
      <c r="H224" s="169"/>
      <c r="I224" s="169"/>
    </row>
    <row r="225" spans="2:9" ht="12.75">
      <c r="B225" s="169"/>
      <c r="C225" s="169"/>
      <c r="D225" s="169"/>
      <c r="E225" s="169"/>
      <c r="F225" s="169"/>
      <c r="G225" s="169"/>
      <c r="H225" s="169"/>
      <c r="I225" s="169"/>
    </row>
    <row r="226" spans="2:9" ht="12.75">
      <c r="B226" s="169"/>
      <c r="C226" s="169"/>
      <c r="D226" s="169"/>
      <c r="E226" s="169"/>
      <c r="F226" s="169"/>
      <c r="G226" s="169"/>
      <c r="H226" s="169"/>
      <c r="I226" s="169"/>
    </row>
    <row r="227" spans="2:9" ht="12.75">
      <c r="B227" s="169"/>
      <c r="C227" s="169"/>
      <c r="D227" s="169"/>
      <c r="E227" s="169"/>
      <c r="F227" s="169"/>
      <c r="G227" s="169"/>
      <c r="H227" s="169"/>
      <c r="I227" s="169"/>
    </row>
    <row r="228" spans="2:9" ht="12.75">
      <c r="B228" s="169"/>
      <c r="C228" s="169"/>
      <c r="D228" s="169"/>
      <c r="E228" s="169"/>
      <c r="F228" s="169"/>
      <c r="G228" s="169"/>
      <c r="H228" s="169"/>
      <c r="I228" s="169"/>
    </row>
    <row r="229" spans="2:9" ht="12.75">
      <c r="B229" s="169"/>
      <c r="C229" s="169"/>
      <c r="D229" s="169"/>
      <c r="E229" s="169"/>
      <c r="F229" s="169"/>
      <c r="G229" s="169"/>
      <c r="H229" s="169"/>
      <c r="I229" s="169"/>
    </row>
    <row r="230" spans="2:9" ht="12.75">
      <c r="B230" s="169"/>
      <c r="C230" s="169"/>
      <c r="D230" s="169"/>
      <c r="E230" s="169"/>
      <c r="F230" s="169"/>
      <c r="G230" s="169"/>
      <c r="H230" s="169"/>
      <c r="I230" s="169"/>
    </row>
    <row r="231" spans="2:9" ht="12.75">
      <c r="B231" s="169"/>
      <c r="C231" s="169"/>
      <c r="D231" s="169"/>
      <c r="E231" s="169"/>
      <c r="F231" s="169"/>
      <c r="G231" s="169"/>
      <c r="H231" s="169"/>
      <c r="I231" s="169"/>
    </row>
    <row r="232" spans="2:9" ht="12.75">
      <c r="B232" s="169"/>
      <c r="C232" s="169"/>
      <c r="D232" s="169"/>
      <c r="E232" s="169"/>
      <c r="F232" s="169"/>
      <c r="G232" s="169"/>
      <c r="H232" s="169"/>
      <c r="I232" s="169"/>
    </row>
    <row r="233" spans="2:9" ht="12.75">
      <c r="B233" s="169"/>
      <c r="C233" s="169"/>
      <c r="D233" s="169"/>
      <c r="E233" s="169"/>
      <c r="F233" s="169"/>
      <c r="G233" s="169"/>
      <c r="H233" s="169"/>
      <c r="I233" s="169"/>
    </row>
    <row r="234" spans="2:9" ht="12.75">
      <c r="B234" s="169"/>
      <c r="C234" s="169"/>
      <c r="D234" s="169"/>
      <c r="E234" s="169"/>
      <c r="F234" s="169"/>
      <c r="G234" s="169"/>
      <c r="H234" s="169"/>
      <c r="I234" s="169"/>
    </row>
    <row r="235" spans="2:9" ht="12.75">
      <c r="B235" s="169"/>
      <c r="C235" s="169"/>
      <c r="D235" s="169"/>
      <c r="E235" s="169"/>
      <c r="F235" s="169"/>
      <c r="G235" s="169"/>
      <c r="H235" s="169"/>
      <c r="I235" s="169"/>
    </row>
    <row r="236" spans="2:9" ht="12.75">
      <c r="B236" s="169"/>
      <c r="C236" s="169"/>
      <c r="D236" s="169"/>
      <c r="E236" s="169"/>
      <c r="F236" s="169"/>
      <c r="G236" s="169"/>
      <c r="H236" s="169"/>
      <c r="I236" s="169"/>
    </row>
    <row r="237" spans="2:9" ht="12.75">
      <c r="B237" s="169"/>
      <c r="C237" s="169"/>
      <c r="D237" s="169"/>
      <c r="E237" s="169"/>
      <c r="F237" s="169"/>
      <c r="G237" s="169"/>
      <c r="H237" s="169"/>
      <c r="I237" s="169"/>
    </row>
    <row r="238" spans="2:9" ht="12.75">
      <c r="B238" s="169"/>
      <c r="C238" s="169"/>
      <c r="D238" s="169"/>
      <c r="E238" s="169"/>
      <c r="F238" s="169"/>
      <c r="G238" s="169"/>
      <c r="H238" s="169"/>
      <c r="I238" s="169"/>
    </row>
    <row r="239" spans="2:9" ht="18">
      <c r="B239" s="160" t="s">
        <v>203</v>
      </c>
      <c r="C239" s="169"/>
      <c r="D239" s="169"/>
      <c r="E239" s="169"/>
      <c r="F239" s="169"/>
      <c r="G239" s="169"/>
      <c r="H239" s="169"/>
      <c r="I239" s="169"/>
    </row>
    <row r="240" spans="2:9" ht="12.75">
      <c r="B240" s="169"/>
      <c r="C240" s="169"/>
      <c r="D240" s="169"/>
      <c r="E240" s="169"/>
      <c r="F240" s="169"/>
      <c r="G240" s="169"/>
      <c r="H240" s="169"/>
      <c r="I240" s="169"/>
    </row>
    <row r="241" spans="2:9" ht="12.75">
      <c r="B241" s="441" t="s">
        <v>19</v>
      </c>
      <c r="C241" s="169"/>
      <c r="D241" s="169"/>
      <c r="E241" s="169"/>
      <c r="F241" s="169"/>
      <c r="G241" s="169"/>
      <c r="H241" s="169"/>
      <c r="I241" s="169"/>
    </row>
    <row r="242" spans="2:9" ht="14.25">
      <c r="B242" s="165" t="s">
        <v>200</v>
      </c>
      <c r="C242" s="166" t="s">
        <v>198</v>
      </c>
      <c r="D242" s="166" t="s">
        <v>201</v>
      </c>
      <c r="E242" s="166" t="s">
        <v>111</v>
      </c>
      <c r="F242" s="169"/>
      <c r="G242" s="169"/>
      <c r="H242" s="169"/>
      <c r="I242" s="169"/>
    </row>
    <row r="243" spans="2:9" ht="14.25">
      <c r="B243" s="167" t="s">
        <v>12</v>
      </c>
      <c r="C243" s="168">
        <v>5313459</v>
      </c>
      <c r="D243" s="168">
        <v>385776</v>
      </c>
      <c r="E243" s="168">
        <f>SUM(C243:D243)</f>
        <v>5699235</v>
      </c>
      <c r="F243" s="169"/>
      <c r="G243" s="169"/>
      <c r="H243" s="169"/>
      <c r="I243" s="169"/>
    </row>
    <row r="244" spans="2:9" ht="12.75">
      <c r="B244" s="169"/>
      <c r="C244" s="169"/>
      <c r="D244" s="169"/>
      <c r="E244" s="169"/>
      <c r="F244" s="169"/>
      <c r="G244" s="169"/>
      <c r="H244" s="169"/>
      <c r="I244" s="169"/>
    </row>
    <row r="245" spans="2:9" ht="12.75">
      <c r="B245" s="169"/>
      <c r="C245" s="169"/>
      <c r="D245" s="169"/>
      <c r="E245" s="169"/>
      <c r="F245" s="169"/>
      <c r="G245" s="169"/>
      <c r="H245" s="169"/>
      <c r="I245" s="169"/>
    </row>
    <row r="246" spans="2:9" ht="12.75">
      <c r="B246" s="169"/>
      <c r="C246" s="169"/>
      <c r="D246" s="169"/>
      <c r="E246" s="169"/>
      <c r="F246" s="169"/>
      <c r="G246" s="169"/>
      <c r="H246" s="169"/>
      <c r="I246" s="169"/>
    </row>
    <row r="247" spans="2:9" ht="12.75">
      <c r="B247" s="169"/>
      <c r="C247" s="169"/>
      <c r="D247" s="169"/>
      <c r="E247" s="169"/>
      <c r="F247" s="169"/>
      <c r="G247" s="169"/>
      <c r="H247" s="169"/>
      <c r="I247" s="169"/>
    </row>
    <row r="248" spans="2:9" ht="12.75">
      <c r="B248" s="169"/>
      <c r="C248" s="169"/>
      <c r="D248" s="169"/>
      <c r="E248" s="169"/>
      <c r="F248" s="169"/>
      <c r="G248" s="169"/>
      <c r="H248" s="169"/>
      <c r="I248" s="169"/>
    </row>
    <row r="249" spans="2:9" ht="12.75">
      <c r="B249" s="169"/>
      <c r="C249" s="169"/>
      <c r="D249" s="169"/>
      <c r="E249" s="169"/>
      <c r="F249" s="169"/>
      <c r="G249" s="169"/>
      <c r="H249" s="169"/>
      <c r="I249" s="169"/>
    </row>
    <row r="250" spans="2:9" ht="12.75">
      <c r="B250" s="169"/>
      <c r="C250" s="169"/>
      <c r="D250" s="169"/>
      <c r="E250" s="169"/>
      <c r="F250" s="169"/>
      <c r="G250" s="169"/>
      <c r="H250" s="169"/>
      <c r="I250" s="169"/>
    </row>
    <row r="251" spans="2:9" ht="12.75">
      <c r="B251" s="169"/>
      <c r="C251" s="169"/>
      <c r="D251" s="169"/>
      <c r="E251" s="169"/>
      <c r="F251" s="169"/>
      <c r="G251" s="169"/>
      <c r="H251" s="169"/>
      <c r="I251" s="169"/>
    </row>
    <row r="252" spans="2:9" ht="12.75">
      <c r="B252" s="169"/>
      <c r="C252" s="169"/>
      <c r="D252" s="169"/>
      <c r="E252" s="169"/>
      <c r="F252" s="169"/>
      <c r="G252" s="169"/>
      <c r="H252" s="169"/>
      <c r="I252" s="169"/>
    </row>
    <row r="253" spans="2:9" ht="12.75">
      <c r="B253" s="169"/>
      <c r="C253" s="169"/>
      <c r="D253" s="169"/>
      <c r="E253" s="169"/>
      <c r="F253" s="169"/>
      <c r="G253" s="169"/>
      <c r="H253" s="169"/>
      <c r="I253" s="169"/>
    </row>
    <row r="254" spans="2:9" ht="12.75">
      <c r="B254" s="169"/>
      <c r="C254" s="169"/>
      <c r="D254" s="169"/>
      <c r="E254" s="169"/>
      <c r="F254" s="169"/>
      <c r="G254" s="169"/>
      <c r="H254" s="169"/>
      <c r="I254" s="169"/>
    </row>
    <row r="255" spans="2:9" ht="12.75">
      <c r="B255" s="169"/>
      <c r="C255" s="169"/>
      <c r="D255" s="169"/>
      <c r="E255" s="169"/>
      <c r="F255" s="169"/>
      <c r="G255" s="169"/>
      <c r="H255" s="169"/>
      <c r="I255" s="169"/>
    </row>
    <row r="256" spans="2:9" ht="12.75">
      <c r="B256" s="169"/>
      <c r="C256" s="169"/>
      <c r="D256" s="169"/>
      <c r="E256" s="169"/>
      <c r="F256" s="169"/>
      <c r="G256" s="169"/>
      <c r="H256" s="169"/>
      <c r="I256" s="169"/>
    </row>
    <row r="257" spans="2:9" ht="12.75">
      <c r="B257" s="169"/>
      <c r="C257" s="169"/>
      <c r="D257" s="169"/>
      <c r="E257" s="169"/>
      <c r="F257" s="169"/>
      <c r="G257" s="169"/>
      <c r="H257" s="169"/>
      <c r="I257" s="169"/>
    </row>
    <row r="258" spans="2:9" ht="12.75">
      <c r="B258" s="169"/>
      <c r="C258" s="169"/>
      <c r="D258" s="169"/>
      <c r="E258" s="169"/>
      <c r="F258" s="169"/>
      <c r="G258" s="169"/>
      <c r="H258" s="169"/>
      <c r="I258" s="169"/>
    </row>
    <row r="259" spans="2:9" ht="12.75">
      <c r="B259" s="169"/>
      <c r="C259" s="169"/>
      <c r="D259" s="169"/>
      <c r="E259" s="169"/>
      <c r="F259" s="169"/>
      <c r="G259" s="169"/>
      <c r="H259" s="169"/>
      <c r="I259" s="169"/>
    </row>
    <row r="260" spans="2:9" ht="12.75">
      <c r="B260" s="169"/>
      <c r="C260" s="169"/>
      <c r="D260" s="169"/>
      <c r="E260" s="169"/>
      <c r="F260" s="169"/>
      <c r="G260" s="169"/>
      <c r="H260" s="169"/>
      <c r="I260" s="169"/>
    </row>
    <row r="261" spans="2:9" ht="12.75">
      <c r="B261" s="169"/>
      <c r="C261" s="169"/>
      <c r="D261" s="169"/>
      <c r="E261" s="169"/>
      <c r="F261" s="169"/>
      <c r="G261" s="169"/>
      <c r="H261" s="169"/>
      <c r="I261" s="169"/>
    </row>
    <row r="262" spans="2:9" ht="12.75">
      <c r="B262" s="169"/>
      <c r="C262" s="169"/>
      <c r="D262" s="169"/>
      <c r="E262" s="169"/>
      <c r="F262" s="169"/>
      <c r="G262" s="169"/>
      <c r="H262" s="169"/>
      <c r="I262" s="169"/>
    </row>
    <row r="263" spans="2:9" ht="12.75">
      <c r="B263" s="169"/>
      <c r="C263" s="169"/>
      <c r="D263" s="169"/>
      <c r="E263" s="169"/>
      <c r="F263" s="169"/>
      <c r="G263" s="169"/>
      <c r="H263" s="169"/>
      <c r="I263" s="169"/>
    </row>
    <row r="264" spans="2:9" ht="12.75">
      <c r="B264" s="169"/>
      <c r="C264" s="169"/>
      <c r="D264" s="169"/>
      <c r="E264" s="169"/>
      <c r="F264" s="169"/>
      <c r="G264" s="169"/>
      <c r="H264" s="169"/>
      <c r="I264" s="169"/>
    </row>
    <row r="265" spans="2:9" ht="12.75">
      <c r="B265" s="169"/>
      <c r="C265" s="169"/>
      <c r="D265" s="169"/>
      <c r="E265" s="169"/>
      <c r="F265" s="169"/>
      <c r="G265" s="169"/>
      <c r="H265" s="169"/>
      <c r="I265" s="169"/>
    </row>
  </sheetData>
  <mergeCells count="3">
    <mergeCell ref="C3:D3"/>
    <mergeCell ref="E3:F3"/>
    <mergeCell ref="G3:H3"/>
  </mergeCells>
  <conditionalFormatting sqref="E14">
    <cfRule type="expression" priority="1" dxfId="0" stopIfTrue="1">
      <formula>(#REF!=0)=0%</formula>
    </cfRule>
  </conditionalFormatting>
  <printOptions/>
  <pageMargins left="0.75" right="0.75" top="1" bottom="1" header="0" footer="0"/>
  <pageSetup fitToHeight="1" fitToWidth="1" horizontalDpi="300" verticalDpi="300" orientation="portrait" paperSize="9" scale="1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workbookViewId="0" topLeftCell="A1">
      <selection activeCell="A1" sqref="A1:IV1"/>
    </sheetView>
  </sheetViews>
  <sheetFormatPr defaultColWidth="9.140625" defaultRowHeight="12.75"/>
  <cols>
    <col min="1" max="1" width="11.421875" style="145" customWidth="1"/>
    <col min="2" max="2" width="61.140625" style="145" customWidth="1"/>
    <col min="3" max="11" width="14.7109375" style="145" customWidth="1"/>
    <col min="12" max="16384" width="11.421875" style="145" customWidth="1"/>
  </cols>
  <sheetData>
    <row r="1" spans="2:12" ht="18">
      <c r="B1" s="160" t="s">
        <v>204</v>
      </c>
      <c r="C1" s="160"/>
      <c r="D1" s="160"/>
      <c r="E1" s="160"/>
      <c r="F1" s="170"/>
      <c r="G1" s="170"/>
      <c r="H1" s="170"/>
      <c r="I1" s="170"/>
      <c r="J1" s="170"/>
      <c r="K1" s="170"/>
      <c r="L1" s="170"/>
    </row>
    <row r="2" spans="2:7" ht="12.75">
      <c r="B2" s="169"/>
      <c r="C2" s="169"/>
      <c r="D2" s="169"/>
      <c r="E2" s="169"/>
      <c r="F2" s="169"/>
      <c r="G2" s="169"/>
    </row>
    <row r="3" spans="2:7" ht="15.75" thickBot="1">
      <c r="B3" s="394" t="s">
        <v>366</v>
      </c>
      <c r="C3" s="372" t="s">
        <v>367</v>
      </c>
      <c r="D3" s="372" t="s">
        <v>192</v>
      </c>
      <c r="E3" s="442"/>
      <c r="F3" s="169"/>
      <c r="G3" s="169"/>
    </row>
    <row r="4" spans="2:7" ht="14.25">
      <c r="B4" s="378" t="s">
        <v>124</v>
      </c>
      <c r="C4" s="379">
        <v>428045.22</v>
      </c>
      <c r="D4" s="443">
        <f aca="true" t="shared" si="0" ref="D4:D9">C4/C$10</f>
        <v>0.3678176064881671</v>
      </c>
      <c r="E4" s="442"/>
      <c r="F4" s="169"/>
      <c r="G4" s="169"/>
    </row>
    <row r="5" spans="2:7" ht="14.25">
      <c r="B5" s="381" t="s">
        <v>116</v>
      </c>
      <c r="C5" s="382">
        <v>165118.78</v>
      </c>
      <c r="D5" s="444">
        <f t="shared" si="0"/>
        <v>0.14188593075714345</v>
      </c>
      <c r="E5" s="442"/>
      <c r="F5" s="169"/>
      <c r="G5" s="169"/>
    </row>
    <row r="6" spans="2:7" ht="14.25">
      <c r="B6" s="381" t="s">
        <v>71</v>
      </c>
      <c r="C6" s="382">
        <v>249426.18</v>
      </c>
      <c r="D6" s="444">
        <f t="shared" si="0"/>
        <v>0.2143309543862836</v>
      </c>
      <c r="E6" s="442"/>
      <c r="F6" s="169"/>
      <c r="G6" s="169"/>
    </row>
    <row r="7" spans="2:7" ht="14.25">
      <c r="B7" s="381" t="s">
        <v>206</v>
      </c>
      <c r="C7" s="382">
        <v>42696.5</v>
      </c>
      <c r="D7" s="444">
        <f t="shared" si="0"/>
        <v>0.03668893776087963</v>
      </c>
      <c r="E7" s="442"/>
      <c r="F7" s="169"/>
      <c r="G7" s="169"/>
    </row>
    <row r="8" spans="2:7" ht="14.25">
      <c r="B8" s="381" t="s">
        <v>87</v>
      </c>
      <c r="C8" s="382">
        <v>144143.33</v>
      </c>
      <c r="D8" s="444">
        <f t="shared" si="0"/>
        <v>0.1238618074787379</v>
      </c>
      <c r="E8" s="442"/>
      <c r="F8" s="169"/>
      <c r="G8" s="169"/>
    </row>
    <row r="9" spans="2:7" ht="15" thickBot="1">
      <c r="B9" s="384" t="s">
        <v>92</v>
      </c>
      <c r="C9" s="385">
        <v>134313.14</v>
      </c>
      <c r="D9" s="445">
        <f t="shared" si="0"/>
        <v>0.11541476312878836</v>
      </c>
      <c r="E9" s="442"/>
      <c r="F9" s="169"/>
      <c r="G9" s="169"/>
    </row>
    <row r="10" spans="2:7" ht="15">
      <c r="B10" s="394" t="s">
        <v>207</v>
      </c>
      <c r="C10" s="395">
        <f>SUM(C4:C9)</f>
        <v>1163743.15</v>
      </c>
      <c r="D10" s="446"/>
      <c r="E10" s="442"/>
      <c r="F10" s="169"/>
      <c r="G10" s="169"/>
    </row>
    <row r="11" spans="2:7" ht="12.75">
      <c r="B11" s="169"/>
      <c r="C11" s="169"/>
      <c r="D11" s="169"/>
      <c r="E11" s="169"/>
      <c r="F11" s="169"/>
      <c r="G11" s="169"/>
    </row>
    <row r="12" spans="2:7" ht="18">
      <c r="B12" s="160" t="s">
        <v>368</v>
      </c>
      <c r="C12" s="160"/>
      <c r="D12" s="160"/>
      <c r="E12" s="160"/>
      <c r="F12" s="169"/>
      <c r="G12" s="169"/>
    </row>
    <row r="13" spans="2:7" ht="12.75">
      <c r="B13" s="169"/>
      <c r="C13" s="169"/>
      <c r="D13" s="169"/>
      <c r="E13" s="169"/>
      <c r="F13" s="169"/>
      <c r="G13" s="169"/>
    </row>
    <row r="14" spans="2:7" ht="15.75" thickBot="1">
      <c r="B14" s="394"/>
      <c r="C14" s="447" t="s">
        <v>24</v>
      </c>
      <c r="D14" s="447" t="s">
        <v>25</v>
      </c>
      <c r="E14" s="447" t="s">
        <v>26</v>
      </c>
      <c r="F14" s="169"/>
      <c r="G14" s="169"/>
    </row>
    <row r="15" spans="2:7" ht="14.25">
      <c r="B15" s="378" t="s">
        <v>124</v>
      </c>
      <c r="C15" s="379">
        <v>562246.88</v>
      </c>
      <c r="D15" s="379">
        <v>522116.9</v>
      </c>
      <c r="E15" s="379">
        <v>428045.22</v>
      </c>
      <c r="F15" s="169"/>
      <c r="G15" s="169"/>
    </row>
    <row r="16" spans="2:7" ht="14.25">
      <c r="B16" s="381" t="s">
        <v>116</v>
      </c>
      <c r="C16" s="382">
        <v>357967.83</v>
      </c>
      <c r="D16" s="382">
        <v>363934.58</v>
      </c>
      <c r="E16" s="382">
        <v>165118.78</v>
      </c>
      <c r="F16" s="169"/>
      <c r="G16" s="169"/>
    </row>
    <row r="17" spans="2:7" ht="14.25">
      <c r="B17" s="381" t="s">
        <v>71</v>
      </c>
      <c r="C17" s="382">
        <v>266193.05</v>
      </c>
      <c r="D17" s="382">
        <v>205588.56</v>
      </c>
      <c r="E17" s="382">
        <v>249426.18</v>
      </c>
      <c r="F17" s="169"/>
      <c r="G17" s="169"/>
    </row>
    <row r="18" spans="2:7" ht="14.25">
      <c r="B18" s="381" t="s">
        <v>206</v>
      </c>
      <c r="C18" s="382">
        <v>39817.66</v>
      </c>
      <c r="D18" s="382">
        <v>32981.58</v>
      </c>
      <c r="E18" s="382">
        <v>42696.5</v>
      </c>
      <c r="F18" s="169"/>
      <c r="G18" s="169"/>
    </row>
    <row r="19" spans="2:7" ht="14.25">
      <c r="B19" s="381" t="s">
        <v>87</v>
      </c>
      <c r="C19" s="382">
        <v>136428.11</v>
      </c>
      <c r="D19" s="382">
        <v>138337.71</v>
      </c>
      <c r="E19" s="382">
        <v>144143.33</v>
      </c>
      <c r="F19" s="169"/>
      <c r="G19" s="169"/>
    </row>
    <row r="20" spans="2:7" ht="15" thickBot="1">
      <c r="B20" s="384" t="s">
        <v>92</v>
      </c>
      <c r="C20" s="385">
        <v>25374.09</v>
      </c>
      <c r="D20" s="385">
        <v>29919.18</v>
      </c>
      <c r="E20" s="385">
        <v>134313.14</v>
      </c>
      <c r="F20" s="169"/>
      <c r="G20" s="169"/>
    </row>
    <row r="21" spans="2:7" ht="15">
      <c r="B21" s="394" t="s">
        <v>207</v>
      </c>
      <c r="C21" s="395">
        <f>SUM(C15:C20)</f>
        <v>1388027.6199999999</v>
      </c>
      <c r="D21" s="395">
        <f>SUM(D15:D20)</f>
        <v>1292878.51</v>
      </c>
      <c r="E21" s="395">
        <f>SUM(E15:E20)</f>
        <v>1163743.15</v>
      </c>
      <c r="F21" s="169"/>
      <c r="G21" s="169"/>
    </row>
    <row r="22" spans="2:7" ht="12.75">
      <c r="B22" s="169"/>
      <c r="C22" s="169"/>
      <c r="D22" s="169"/>
      <c r="E22" s="169"/>
      <c r="F22" s="169"/>
      <c r="G22" s="169"/>
    </row>
    <row r="23" spans="2:7" ht="18">
      <c r="B23" s="160" t="s">
        <v>208</v>
      </c>
      <c r="C23" s="169"/>
      <c r="D23" s="169"/>
      <c r="E23" s="169"/>
      <c r="F23" s="169"/>
      <c r="G23" s="169"/>
    </row>
    <row r="24" spans="2:7" ht="18">
      <c r="B24" s="169"/>
      <c r="C24" s="160"/>
      <c r="D24" s="160"/>
      <c r="E24" s="160"/>
      <c r="F24" s="169"/>
      <c r="G24" s="169"/>
    </row>
    <row r="25" spans="2:7" ht="12.75">
      <c r="B25" s="441" t="s">
        <v>19</v>
      </c>
      <c r="C25" s="169"/>
      <c r="D25" s="169"/>
      <c r="E25" s="169"/>
      <c r="F25" s="169"/>
      <c r="G25" s="169"/>
    </row>
    <row r="26" spans="2:7" ht="14.25">
      <c r="B26" s="165" t="s">
        <v>209</v>
      </c>
      <c r="C26" s="166" t="s">
        <v>205</v>
      </c>
      <c r="D26" s="169"/>
      <c r="E26" s="169"/>
      <c r="F26" s="169"/>
      <c r="G26" s="169"/>
    </row>
    <row r="27" spans="2:7" ht="14.25">
      <c r="B27" s="167" t="s">
        <v>37</v>
      </c>
      <c r="C27" s="171">
        <v>1423886.29</v>
      </c>
      <c r="D27" s="169"/>
      <c r="E27" s="169"/>
      <c r="F27" s="169"/>
      <c r="G27" s="169"/>
    </row>
    <row r="28" spans="2:7" ht="14.25">
      <c r="B28" s="165" t="s">
        <v>23</v>
      </c>
      <c r="C28" s="171">
        <v>1366966.89</v>
      </c>
      <c r="D28" s="169"/>
      <c r="E28" s="169"/>
      <c r="F28" s="169"/>
      <c r="G28" s="169"/>
    </row>
    <row r="29" spans="2:7" ht="14.25">
      <c r="B29" s="167" t="s">
        <v>24</v>
      </c>
      <c r="C29" s="171">
        <v>1388027.62</v>
      </c>
      <c r="D29" s="169"/>
      <c r="E29" s="169"/>
      <c r="F29" s="169"/>
      <c r="G29" s="169"/>
    </row>
    <row r="30" spans="2:7" ht="14.25">
      <c r="B30" s="165" t="s">
        <v>25</v>
      </c>
      <c r="C30" s="171">
        <v>1292878.51</v>
      </c>
      <c r="D30" s="169"/>
      <c r="E30" s="169"/>
      <c r="F30" s="169"/>
      <c r="G30" s="169"/>
    </row>
    <row r="31" spans="2:7" ht="14.25">
      <c r="B31" s="167" t="s">
        <v>26</v>
      </c>
      <c r="C31" s="171">
        <v>1163743.15</v>
      </c>
      <c r="D31" s="169"/>
      <c r="E31" s="169"/>
      <c r="F31" s="169"/>
      <c r="G31" s="169"/>
    </row>
    <row r="32" spans="2:7" ht="12.75">
      <c r="B32" s="169"/>
      <c r="C32" s="169"/>
      <c r="D32" s="169"/>
      <c r="E32" s="169"/>
      <c r="F32" s="169"/>
      <c r="G32" s="169"/>
    </row>
    <row r="33" spans="2:7" ht="12.75">
      <c r="B33" s="169"/>
      <c r="C33" s="169"/>
      <c r="D33" s="169"/>
      <c r="E33" s="169"/>
      <c r="F33" s="169"/>
      <c r="G33" s="169"/>
    </row>
    <row r="34" spans="2:7" ht="12.75">
      <c r="B34" s="169"/>
      <c r="C34" s="169"/>
      <c r="D34" s="169"/>
      <c r="E34" s="169"/>
      <c r="F34" s="169"/>
      <c r="G34" s="169"/>
    </row>
    <row r="35" spans="3:7" ht="12.75">
      <c r="C35" s="169"/>
      <c r="D35" s="169"/>
      <c r="E35" s="169"/>
      <c r="F35" s="169"/>
      <c r="G35" s="169"/>
    </row>
    <row r="36" spans="2:7" ht="12.75">
      <c r="B36" s="169"/>
      <c r="C36" s="169"/>
      <c r="D36" s="169"/>
      <c r="E36" s="169"/>
      <c r="F36" s="169"/>
      <c r="G36" s="169"/>
    </row>
    <row r="37" spans="2:7" ht="12.75">
      <c r="B37" s="169"/>
      <c r="C37" s="169"/>
      <c r="D37" s="169"/>
      <c r="E37" s="169"/>
      <c r="F37" s="169"/>
      <c r="G37" s="169"/>
    </row>
    <row r="38" spans="2:7" ht="12.75">
      <c r="B38" s="169"/>
      <c r="C38" s="169"/>
      <c r="D38" s="169"/>
      <c r="E38" s="169"/>
      <c r="F38" s="169"/>
      <c r="G38" s="169"/>
    </row>
    <row r="39" spans="2:7" ht="12.75">
      <c r="B39" s="169"/>
      <c r="C39" s="169"/>
      <c r="D39" s="169"/>
      <c r="E39" s="169"/>
      <c r="F39" s="169"/>
      <c r="G39" s="169"/>
    </row>
    <row r="40" spans="2:7" ht="12.75">
      <c r="B40" s="169"/>
      <c r="C40" s="169"/>
      <c r="D40" s="169"/>
      <c r="E40" s="169"/>
      <c r="F40" s="169"/>
      <c r="G40" s="169"/>
    </row>
    <row r="41" spans="2:7" ht="12.75">
      <c r="B41" s="169"/>
      <c r="C41" s="169"/>
      <c r="D41" s="169"/>
      <c r="E41" s="169"/>
      <c r="F41" s="169"/>
      <c r="G41" s="169"/>
    </row>
    <row r="42" spans="2:7" ht="12.75">
      <c r="B42" s="169"/>
      <c r="C42" s="169"/>
      <c r="D42" s="169"/>
      <c r="E42" s="169"/>
      <c r="F42" s="169"/>
      <c r="G42" s="169"/>
    </row>
    <row r="43" spans="2:7" ht="12.75">
      <c r="B43" s="169"/>
      <c r="C43" s="169"/>
      <c r="D43" s="169"/>
      <c r="E43" s="169"/>
      <c r="F43" s="169"/>
      <c r="G43" s="169"/>
    </row>
    <row r="44" spans="2:7" ht="12.75">
      <c r="B44" s="169"/>
      <c r="C44" s="169"/>
      <c r="D44" s="169"/>
      <c r="E44" s="169"/>
      <c r="F44" s="169"/>
      <c r="G44" s="169"/>
    </row>
    <row r="45" spans="2:7" ht="12.75">
      <c r="B45" s="169"/>
      <c r="C45" s="169"/>
      <c r="D45" s="169"/>
      <c r="E45" s="169"/>
      <c r="F45" s="169"/>
      <c r="G45" s="169"/>
    </row>
    <row r="46" spans="2:7" ht="18">
      <c r="B46" s="160" t="s">
        <v>369</v>
      </c>
      <c r="C46" s="160"/>
      <c r="D46" s="160"/>
      <c r="E46" s="160"/>
      <c r="F46" s="169"/>
      <c r="G46" s="169"/>
    </row>
    <row r="47" spans="2:7" ht="12.75">
      <c r="B47" s="169"/>
      <c r="C47" s="169"/>
      <c r="D47" s="169"/>
      <c r="E47" s="169"/>
      <c r="F47" s="169"/>
      <c r="G47" s="169"/>
    </row>
    <row r="48" spans="2:7" ht="13.5" thickBot="1">
      <c r="B48" s="456" t="s">
        <v>97</v>
      </c>
      <c r="C48" s="457" t="s">
        <v>370</v>
      </c>
      <c r="D48" s="457" t="s">
        <v>322</v>
      </c>
      <c r="E48" s="457" t="s">
        <v>192</v>
      </c>
      <c r="F48" s="169"/>
      <c r="G48" s="169"/>
    </row>
    <row r="49" spans="2:7" ht="12.75">
      <c r="B49" s="448" t="s">
        <v>210</v>
      </c>
      <c r="C49" s="458" t="s">
        <v>211</v>
      </c>
      <c r="D49" s="459">
        <v>13913</v>
      </c>
      <c r="E49" s="460">
        <f>D49/D$53</f>
        <v>0.8219898381188704</v>
      </c>
      <c r="F49" s="169"/>
      <c r="G49" s="169"/>
    </row>
    <row r="50" spans="2:7" ht="12.75">
      <c r="B50" s="449" t="s">
        <v>212</v>
      </c>
      <c r="C50" s="461" t="s">
        <v>213</v>
      </c>
      <c r="D50" s="462">
        <v>2258</v>
      </c>
      <c r="E50" s="463">
        <f>D50/D$53</f>
        <v>0.13340423017842373</v>
      </c>
      <c r="F50" s="169"/>
      <c r="G50" s="169"/>
    </row>
    <row r="51" spans="2:7" ht="12.75">
      <c r="B51" s="449" t="s">
        <v>214</v>
      </c>
      <c r="C51" s="461" t="s">
        <v>215</v>
      </c>
      <c r="D51" s="464">
        <v>469</v>
      </c>
      <c r="E51" s="463">
        <f>D51/D$53</f>
        <v>0.027708850289495452</v>
      </c>
      <c r="F51" s="169"/>
      <c r="G51" s="169"/>
    </row>
    <row r="52" spans="2:7" ht="12.75">
      <c r="B52" s="449" t="s">
        <v>221</v>
      </c>
      <c r="C52" s="461"/>
      <c r="D52" s="464">
        <v>286</v>
      </c>
      <c r="E52" s="463">
        <v>0.016897081413210446</v>
      </c>
      <c r="F52" s="169"/>
      <c r="G52" s="169"/>
    </row>
    <row r="53" spans="2:7" ht="12.75">
      <c r="B53" s="456" t="s">
        <v>118</v>
      </c>
      <c r="C53" s="465"/>
      <c r="D53" s="428">
        <f>SUM(D49:D52)</f>
        <v>16926</v>
      </c>
      <c r="E53" s="466"/>
      <c r="F53" s="169"/>
      <c r="G53" s="169"/>
    </row>
    <row r="54" spans="2:7" ht="12.75">
      <c r="B54" s="169"/>
      <c r="C54" s="169"/>
      <c r="D54" s="169"/>
      <c r="E54" s="169"/>
      <c r="F54" s="169"/>
      <c r="G54" s="169"/>
    </row>
    <row r="55" spans="2:7" ht="12.75">
      <c r="B55" s="169"/>
      <c r="C55" s="169"/>
      <c r="D55" s="169"/>
      <c r="E55" s="169"/>
      <c r="F55" s="169"/>
      <c r="G55" s="169"/>
    </row>
    <row r="56" spans="2:7" ht="18">
      <c r="B56" s="160" t="s">
        <v>222</v>
      </c>
      <c r="C56" s="160"/>
      <c r="D56" s="160"/>
      <c r="E56" s="160"/>
      <c r="F56" s="169"/>
      <c r="G56" s="169"/>
    </row>
    <row r="57" spans="2:7" ht="12.75">
      <c r="B57" s="172" t="s">
        <v>220</v>
      </c>
      <c r="C57" s="169"/>
      <c r="D57" s="169"/>
      <c r="E57" s="169"/>
      <c r="F57" s="169"/>
      <c r="G57" s="169"/>
    </row>
    <row r="58" spans="2:7" ht="12.75">
      <c r="B58" s="169"/>
      <c r="C58" s="169"/>
      <c r="D58" s="169"/>
      <c r="E58" s="169"/>
      <c r="F58" s="169"/>
      <c r="G58" s="169"/>
    </row>
    <row r="59" spans="2:7" ht="15.75" thickBot="1">
      <c r="B59" s="430" t="s">
        <v>371</v>
      </c>
      <c r="C59" s="431" t="s">
        <v>372</v>
      </c>
      <c r="D59" s="431" t="s">
        <v>373</v>
      </c>
      <c r="E59" s="431" t="s">
        <v>118</v>
      </c>
      <c r="F59" s="169"/>
      <c r="G59" s="169"/>
    </row>
    <row r="60" spans="2:7" ht="14.25">
      <c r="B60" s="450" t="s">
        <v>216</v>
      </c>
      <c r="C60" s="451">
        <v>2872</v>
      </c>
      <c r="D60" s="451">
        <v>1590</v>
      </c>
      <c r="E60" s="451">
        <v>4462</v>
      </c>
      <c r="F60" s="169"/>
      <c r="G60" s="169"/>
    </row>
    <row r="61" spans="2:7" ht="14.25">
      <c r="B61" s="415" t="s">
        <v>217</v>
      </c>
      <c r="C61" s="452">
        <v>1868</v>
      </c>
      <c r="D61" s="452">
        <v>501</v>
      </c>
      <c r="E61" s="452">
        <v>2369</v>
      </c>
      <c r="F61" s="169"/>
      <c r="G61" s="169"/>
    </row>
    <row r="62" spans="2:7" ht="14.25">
      <c r="B62" s="415" t="s">
        <v>218</v>
      </c>
      <c r="C62" s="452">
        <v>762</v>
      </c>
      <c r="D62" s="452">
        <v>243</v>
      </c>
      <c r="E62" s="452">
        <v>1005</v>
      </c>
      <c r="F62" s="169"/>
      <c r="G62" s="169"/>
    </row>
    <row r="63" spans="2:7" ht="15" thickBot="1">
      <c r="B63" s="453" t="s">
        <v>219</v>
      </c>
      <c r="C63" s="454">
        <v>253</v>
      </c>
      <c r="D63" s="454">
        <v>33</v>
      </c>
      <c r="E63" s="454">
        <v>286</v>
      </c>
      <c r="F63" s="169"/>
      <c r="G63" s="169"/>
    </row>
    <row r="64" spans="2:7" ht="15">
      <c r="B64" s="430" t="s">
        <v>12</v>
      </c>
      <c r="C64" s="455">
        <v>5755</v>
      </c>
      <c r="D64" s="455">
        <v>2367</v>
      </c>
      <c r="E64" s="455">
        <v>8122</v>
      </c>
      <c r="F64" s="169"/>
      <c r="G64" s="169"/>
    </row>
  </sheetData>
  <printOptions/>
  <pageMargins left="0.75" right="0.75" top="1" bottom="1" header="0" footer="0"/>
  <pageSetup fitToHeight="1" fitToWidth="1" horizontalDpi="300" verticalDpi="3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3"/>
  <sheetViews>
    <sheetView workbookViewId="0" topLeftCell="A1">
      <selection activeCell="A1" sqref="A1:IV2"/>
    </sheetView>
  </sheetViews>
  <sheetFormatPr defaultColWidth="9.140625" defaultRowHeight="12.75"/>
  <cols>
    <col min="2" max="2" width="34.57421875" style="0" customWidth="1"/>
    <col min="3" max="7" width="15.7109375" style="0" customWidth="1"/>
    <col min="8" max="8" width="12.7109375" style="0" customWidth="1"/>
  </cols>
  <sheetData>
    <row r="1" spans="2:16" ht="18">
      <c r="B1" s="70" t="s">
        <v>223</v>
      </c>
      <c r="C1" s="70"/>
      <c r="D1" s="70"/>
      <c r="E1" s="70"/>
      <c r="F1" s="70"/>
      <c r="G1" s="70"/>
      <c r="H1" s="90"/>
      <c r="I1" s="90"/>
      <c r="J1" s="90"/>
      <c r="K1" s="90"/>
      <c r="L1" s="90"/>
      <c r="M1" s="90"/>
      <c r="N1" s="90"/>
      <c r="O1" s="90"/>
      <c r="P1" s="90"/>
    </row>
    <row r="3" spans="2:11" ht="15">
      <c r="B3" s="467"/>
      <c r="C3" s="316" t="s">
        <v>245</v>
      </c>
      <c r="D3" s="316" t="s">
        <v>224</v>
      </c>
      <c r="E3" s="316" t="s">
        <v>374</v>
      </c>
      <c r="F3" s="316" t="s">
        <v>225</v>
      </c>
      <c r="G3" s="316" t="s">
        <v>118</v>
      </c>
      <c r="H3" s="109"/>
      <c r="J3" s="173"/>
      <c r="K3" s="173"/>
    </row>
    <row r="4" spans="2:11" ht="15.75" thickBot="1">
      <c r="B4" s="237" t="s">
        <v>226</v>
      </c>
      <c r="C4" s="468"/>
      <c r="D4" s="468"/>
      <c r="E4" s="237"/>
      <c r="F4" s="468"/>
      <c r="G4" s="237"/>
      <c r="H4" s="10"/>
      <c r="I4" s="174"/>
      <c r="J4" s="174"/>
      <c r="K4" s="174"/>
    </row>
    <row r="5" spans="2:8" ht="14.25">
      <c r="B5" s="147" t="s">
        <v>227</v>
      </c>
      <c r="C5" s="104">
        <v>557747</v>
      </c>
      <c r="D5" s="175">
        <f aca="true" t="shared" si="0" ref="D5:D11">C5/G5</f>
        <v>0.08078022750093816</v>
      </c>
      <c r="E5" s="104">
        <v>6346752</v>
      </c>
      <c r="F5" s="175">
        <f>E5/G5</f>
        <v>0.9192197724990618</v>
      </c>
      <c r="G5" s="104">
        <v>6904499</v>
      </c>
      <c r="H5" s="10"/>
    </row>
    <row r="6" spans="2:8" ht="14.25">
      <c r="B6" s="155" t="s">
        <v>228</v>
      </c>
      <c r="C6" s="105">
        <v>716023</v>
      </c>
      <c r="D6" s="176">
        <f t="shared" si="0"/>
        <v>0.11742430516481431</v>
      </c>
      <c r="E6" s="105">
        <v>5381718</v>
      </c>
      <c r="F6" s="176">
        <f aca="true" t="shared" si="1" ref="F6:F11">E6/G6</f>
        <v>0.8825756948351857</v>
      </c>
      <c r="G6" s="105">
        <v>6097741</v>
      </c>
      <c r="H6" s="10"/>
    </row>
    <row r="7" spans="2:8" ht="14.25">
      <c r="B7" s="155" t="s">
        <v>71</v>
      </c>
      <c r="C7" s="105">
        <v>800312</v>
      </c>
      <c r="D7" s="176">
        <f t="shared" si="0"/>
        <v>0.4570093319186795</v>
      </c>
      <c r="E7" s="105">
        <v>950882</v>
      </c>
      <c r="F7" s="176">
        <f t="shared" si="1"/>
        <v>0.5429906680813206</v>
      </c>
      <c r="G7" s="105">
        <v>1751194</v>
      </c>
      <c r="H7" s="10"/>
    </row>
    <row r="8" spans="2:8" ht="14.25">
      <c r="B8" s="155" t="s">
        <v>80</v>
      </c>
      <c r="C8" s="105">
        <v>238212</v>
      </c>
      <c r="D8" s="176">
        <f t="shared" si="0"/>
        <v>0.27857110280299513</v>
      </c>
      <c r="E8" s="105">
        <v>616909</v>
      </c>
      <c r="F8" s="176">
        <f t="shared" si="1"/>
        <v>0.7214288971970049</v>
      </c>
      <c r="G8" s="105">
        <v>855121</v>
      </c>
      <c r="H8" s="10"/>
    </row>
    <row r="9" spans="2:8" ht="14.25">
      <c r="B9" s="155" t="s">
        <v>87</v>
      </c>
      <c r="C9" s="105">
        <v>61738</v>
      </c>
      <c r="D9" s="176">
        <f t="shared" si="0"/>
        <v>0.038109453104842046</v>
      </c>
      <c r="E9" s="105">
        <v>1558280</v>
      </c>
      <c r="F9" s="176">
        <f t="shared" si="1"/>
        <v>0.961890546895158</v>
      </c>
      <c r="G9" s="105">
        <v>1620018</v>
      </c>
      <c r="H9" s="10"/>
    </row>
    <row r="10" spans="2:8" ht="15" thickBot="1">
      <c r="B10" s="150" t="s">
        <v>92</v>
      </c>
      <c r="C10" s="106">
        <v>4550</v>
      </c>
      <c r="D10" s="177">
        <f t="shared" si="0"/>
        <v>0.013033104084374312</v>
      </c>
      <c r="E10" s="106">
        <v>344561</v>
      </c>
      <c r="F10" s="177">
        <f t="shared" si="1"/>
        <v>0.9869668959156257</v>
      </c>
      <c r="G10" s="106">
        <v>349111</v>
      </c>
      <c r="H10" s="10"/>
    </row>
    <row r="11" spans="2:8" ht="15">
      <c r="B11" s="469" t="s">
        <v>375</v>
      </c>
      <c r="C11" s="470">
        <v>2378582</v>
      </c>
      <c r="D11" s="471">
        <f t="shared" si="0"/>
        <v>0.13531828197616932</v>
      </c>
      <c r="E11" s="470">
        <v>15199102</v>
      </c>
      <c r="F11" s="471">
        <f t="shared" si="1"/>
        <v>0.8646817180238306</v>
      </c>
      <c r="G11" s="470">
        <v>17577684</v>
      </c>
      <c r="H11" s="109"/>
    </row>
    <row r="12" spans="2:7" ht="15.75" thickBot="1">
      <c r="B12" s="468" t="s">
        <v>229</v>
      </c>
      <c r="C12" s="237"/>
      <c r="D12" s="468"/>
      <c r="E12" s="237"/>
      <c r="F12" s="468"/>
      <c r="G12" s="237"/>
    </row>
    <row r="13" spans="2:7" ht="14.25">
      <c r="B13" s="147" t="s">
        <v>227</v>
      </c>
      <c r="C13" s="104">
        <v>10999</v>
      </c>
      <c r="D13" s="472">
        <f aca="true" t="shared" si="2" ref="D13:D19">C13/G13</f>
        <v>0.09179066487519508</v>
      </c>
      <c r="E13" s="104">
        <v>108828</v>
      </c>
      <c r="F13" s="472">
        <f aca="true" t="shared" si="3" ref="F13:F19">E13/G13</f>
        <v>0.908209335124805</v>
      </c>
      <c r="G13" s="104">
        <v>119827</v>
      </c>
    </row>
    <row r="14" spans="2:7" ht="14.25">
      <c r="B14" s="155" t="s">
        <v>228</v>
      </c>
      <c r="C14" s="105">
        <v>11179</v>
      </c>
      <c r="D14" s="473">
        <f t="shared" si="2"/>
        <v>0.13467538882262942</v>
      </c>
      <c r="E14" s="105">
        <v>71828</v>
      </c>
      <c r="F14" s="473">
        <f t="shared" si="3"/>
        <v>0.8653246111773706</v>
      </c>
      <c r="G14" s="105">
        <v>83007</v>
      </c>
    </row>
    <row r="15" spans="2:7" ht="14.25">
      <c r="B15" s="155" t="s">
        <v>71</v>
      </c>
      <c r="C15" s="105">
        <v>8519</v>
      </c>
      <c r="D15" s="473">
        <f t="shared" si="2"/>
        <v>0.3637023438500619</v>
      </c>
      <c r="E15" s="105">
        <v>14904</v>
      </c>
      <c r="F15" s="473">
        <f t="shared" si="3"/>
        <v>0.636297656149938</v>
      </c>
      <c r="G15" s="105">
        <v>23423</v>
      </c>
    </row>
    <row r="16" spans="2:7" ht="14.25">
      <c r="B16" s="155" t="s">
        <v>80</v>
      </c>
      <c r="C16" s="105">
        <v>2932</v>
      </c>
      <c r="D16" s="473">
        <f t="shared" si="2"/>
        <v>0.24957439564181136</v>
      </c>
      <c r="E16" s="105">
        <v>8816</v>
      </c>
      <c r="F16" s="473">
        <f t="shared" si="3"/>
        <v>0.7504256043581886</v>
      </c>
      <c r="G16" s="105">
        <v>11748</v>
      </c>
    </row>
    <row r="17" spans="2:7" ht="14.25">
      <c r="B17" s="155" t="s">
        <v>87</v>
      </c>
      <c r="C17" s="129">
        <v>997</v>
      </c>
      <c r="D17" s="473">
        <f t="shared" si="2"/>
        <v>0.04427175843694494</v>
      </c>
      <c r="E17" s="105">
        <v>21523</v>
      </c>
      <c r="F17" s="473">
        <f t="shared" si="3"/>
        <v>0.955728241563055</v>
      </c>
      <c r="G17" s="105">
        <v>22520</v>
      </c>
    </row>
    <row r="18" spans="2:7" ht="15" thickBot="1">
      <c r="B18" s="150" t="s">
        <v>92</v>
      </c>
      <c r="C18" s="178">
        <v>108</v>
      </c>
      <c r="D18" s="474">
        <f t="shared" si="2"/>
        <v>0.023925564909171467</v>
      </c>
      <c r="E18" s="106">
        <v>4406</v>
      </c>
      <c r="F18" s="474">
        <f t="shared" si="3"/>
        <v>0.9760744350908286</v>
      </c>
      <c r="G18" s="106">
        <v>4514</v>
      </c>
    </row>
    <row r="19" spans="2:7" ht="15.75" thickBot="1">
      <c r="B19" s="317" t="s">
        <v>375</v>
      </c>
      <c r="C19" s="102">
        <v>34734</v>
      </c>
      <c r="D19" s="475">
        <f t="shared" si="2"/>
        <v>0.1310524111545848</v>
      </c>
      <c r="E19" s="102">
        <v>230305</v>
      </c>
      <c r="F19" s="475">
        <f t="shared" si="3"/>
        <v>0.8689475888454152</v>
      </c>
      <c r="G19" s="102">
        <v>265039</v>
      </c>
    </row>
    <row r="20" spans="2:7" ht="15">
      <c r="B20" s="476" t="s">
        <v>12</v>
      </c>
      <c r="C20" s="477">
        <f>C11+C19</f>
        <v>2413316</v>
      </c>
      <c r="D20" s="478">
        <f>C20/G20</f>
        <v>0.13525491596770292</v>
      </c>
      <c r="E20" s="477">
        <f>E11+E19</f>
        <v>15429407</v>
      </c>
      <c r="F20" s="478">
        <f>E20/G20</f>
        <v>0.8647450840322971</v>
      </c>
      <c r="G20" s="477">
        <f>G11+G19</f>
        <v>17842723</v>
      </c>
    </row>
    <row r="23" spans="2:7" ht="18">
      <c r="B23" s="70" t="s">
        <v>243</v>
      </c>
      <c r="C23" s="70"/>
      <c r="D23" s="70"/>
      <c r="E23" s="70"/>
      <c r="F23" s="70"/>
      <c r="G23" s="70"/>
    </row>
    <row r="24" spans="3:5" ht="14.25">
      <c r="C24" s="112"/>
      <c r="D24" s="112"/>
      <c r="E24" s="112"/>
    </row>
    <row r="25" spans="2:10" ht="15.75" thickBot="1">
      <c r="B25" s="237" t="s">
        <v>321</v>
      </c>
      <c r="C25" s="479" t="s">
        <v>376</v>
      </c>
      <c r="D25" s="479" t="s">
        <v>377</v>
      </c>
      <c r="E25" s="479" t="s">
        <v>118</v>
      </c>
      <c r="F25" s="480"/>
      <c r="G25" s="480"/>
      <c r="H25" s="480"/>
      <c r="I25" s="480"/>
      <c r="J25" s="480"/>
    </row>
    <row r="26" spans="2:10" ht="14.25">
      <c r="B26" s="147" t="s">
        <v>227</v>
      </c>
      <c r="C26" s="104">
        <v>471</v>
      </c>
      <c r="D26" s="104">
        <v>340</v>
      </c>
      <c r="E26" s="104">
        <v>811</v>
      </c>
      <c r="F26" s="480"/>
      <c r="G26" s="480"/>
      <c r="H26" s="480"/>
      <c r="I26" s="480"/>
      <c r="J26" s="480"/>
    </row>
    <row r="27" spans="2:10" ht="13.5" customHeight="1">
      <c r="B27" s="155" t="s">
        <v>228</v>
      </c>
      <c r="C27" s="105">
        <v>210</v>
      </c>
      <c r="D27" s="105">
        <v>47</v>
      </c>
      <c r="E27" s="105">
        <v>257</v>
      </c>
      <c r="F27" s="480"/>
      <c r="G27" s="480"/>
      <c r="H27" s="480"/>
      <c r="I27" s="480"/>
      <c r="J27" s="480"/>
    </row>
    <row r="28" spans="2:10" ht="14.25">
      <c r="B28" s="155" t="s">
        <v>71</v>
      </c>
      <c r="C28" s="105">
        <v>435</v>
      </c>
      <c r="D28" s="105">
        <v>215</v>
      </c>
      <c r="E28" s="105">
        <v>650</v>
      </c>
      <c r="F28" s="480"/>
      <c r="G28" s="480"/>
      <c r="H28" s="480"/>
      <c r="I28" s="480"/>
      <c r="J28" s="480"/>
    </row>
    <row r="29" spans="2:10" ht="14.25">
      <c r="B29" s="155" t="s">
        <v>80</v>
      </c>
      <c r="C29" s="105">
        <v>135</v>
      </c>
      <c r="D29" s="105">
        <v>162</v>
      </c>
      <c r="E29" s="105">
        <v>297</v>
      </c>
      <c r="F29" s="480"/>
      <c r="G29" s="480"/>
      <c r="H29" s="480"/>
      <c r="I29" s="480"/>
      <c r="J29" s="480"/>
    </row>
    <row r="30" spans="2:10" ht="14.25">
      <c r="B30" s="155" t="s">
        <v>87</v>
      </c>
      <c r="C30" s="105">
        <v>294</v>
      </c>
      <c r="D30" s="105">
        <v>68</v>
      </c>
      <c r="E30" s="105">
        <v>362</v>
      </c>
      <c r="F30" s="480"/>
      <c r="G30" s="480"/>
      <c r="H30" s="480"/>
      <c r="I30" s="480"/>
      <c r="J30" s="480"/>
    </row>
    <row r="31" spans="2:10" ht="15" thickBot="1">
      <c r="B31" s="150" t="s">
        <v>92</v>
      </c>
      <c r="C31" s="106">
        <v>52</v>
      </c>
      <c r="D31" s="106">
        <v>64</v>
      </c>
      <c r="E31" s="106">
        <v>116</v>
      </c>
      <c r="F31" s="480"/>
      <c r="G31" s="480"/>
      <c r="H31" s="480"/>
      <c r="I31" s="480"/>
      <c r="J31" s="480"/>
    </row>
    <row r="32" spans="2:10" ht="15">
      <c r="B32" s="469" t="s">
        <v>118</v>
      </c>
      <c r="C32" s="470">
        <v>1597</v>
      </c>
      <c r="D32" s="470">
        <v>896</v>
      </c>
      <c r="E32" s="470">
        <v>2493</v>
      </c>
      <c r="F32" s="480"/>
      <c r="G32" s="480"/>
      <c r="H32" s="480"/>
      <c r="I32" s="480"/>
      <c r="J32" s="480"/>
    </row>
    <row r="33" spans="2:10" ht="12.75">
      <c r="B33" s="480"/>
      <c r="C33" s="480"/>
      <c r="D33" s="480"/>
      <c r="E33" s="480"/>
      <c r="F33" s="480"/>
      <c r="G33" s="480"/>
      <c r="H33" s="480"/>
      <c r="I33" s="480"/>
      <c r="J33" s="480"/>
    </row>
    <row r="34" spans="2:10" ht="12.75">
      <c r="B34" s="480"/>
      <c r="C34" s="480"/>
      <c r="D34" s="480"/>
      <c r="E34" s="480"/>
      <c r="F34" s="480"/>
      <c r="G34" s="480"/>
      <c r="H34" s="480"/>
      <c r="I34" s="480"/>
      <c r="J34" s="480"/>
    </row>
    <row r="35" spans="2:10" ht="12.75">
      <c r="B35" s="480"/>
      <c r="C35" s="480"/>
      <c r="D35" s="480"/>
      <c r="E35" s="480"/>
      <c r="F35" s="480"/>
      <c r="G35" s="480"/>
      <c r="H35" s="480"/>
      <c r="I35" s="480"/>
      <c r="J35" s="480"/>
    </row>
    <row r="36" spans="2:10" ht="18">
      <c r="B36" s="70" t="s">
        <v>230</v>
      </c>
      <c r="C36" s="70"/>
      <c r="D36" s="70"/>
      <c r="E36" s="70"/>
      <c r="F36" s="70"/>
      <c r="G36" s="70"/>
      <c r="H36" s="480"/>
      <c r="I36" s="480"/>
      <c r="J36" s="480"/>
    </row>
    <row r="37" spans="2:10" ht="12.75">
      <c r="B37" s="480"/>
      <c r="C37" s="480"/>
      <c r="D37" s="480"/>
      <c r="E37" s="480"/>
      <c r="F37" s="480"/>
      <c r="G37" s="480"/>
      <c r="H37" s="480"/>
      <c r="I37" s="480"/>
      <c r="J37" s="480"/>
    </row>
    <row r="38" spans="2:10" ht="18" customHeight="1">
      <c r="B38" s="613" t="s">
        <v>231</v>
      </c>
      <c r="C38" s="613"/>
      <c r="D38" s="480"/>
      <c r="E38" s="480"/>
      <c r="F38" s="480"/>
      <c r="G38" s="480"/>
      <c r="H38" s="480"/>
      <c r="I38" s="480"/>
      <c r="J38" s="480"/>
    </row>
    <row r="39" spans="2:10" ht="15.75" thickBot="1">
      <c r="B39" s="355" t="s">
        <v>232</v>
      </c>
      <c r="C39" s="329" t="s">
        <v>352</v>
      </c>
      <c r="D39" s="480"/>
      <c r="E39" s="480"/>
      <c r="F39" s="480"/>
      <c r="G39" s="480"/>
      <c r="H39" s="480"/>
      <c r="I39" s="480"/>
      <c r="J39" s="480"/>
    </row>
    <row r="40" spans="2:10" ht="14.25">
      <c r="B40" s="482" t="s">
        <v>233</v>
      </c>
      <c r="C40" s="483">
        <v>84</v>
      </c>
      <c r="D40" s="480"/>
      <c r="E40" s="480"/>
      <c r="F40" s="480"/>
      <c r="G40" s="480"/>
      <c r="H40" s="480"/>
      <c r="I40" s="480"/>
      <c r="J40" s="480"/>
    </row>
    <row r="41" spans="2:10" ht="14.25">
      <c r="B41" s="484" t="s">
        <v>234</v>
      </c>
      <c r="C41" s="485">
        <v>195</v>
      </c>
      <c r="D41" s="480"/>
      <c r="E41" s="480"/>
      <c r="F41" s="480"/>
      <c r="G41" s="480"/>
      <c r="H41" s="480"/>
      <c r="I41" s="480"/>
      <c r="J41" s="480"/>
    </row>
    <row r="42" spans="2:10" ht="15" thickBot="1">
      <c r="B42" s="486" t="s">
        <v>235</v>
      </c>
      <c r="C42" s="487">
        <v>94</v>
      </c>
      <c r="D42" s="480"/>
      <c r="E42" s="480"/>
      <c r="F42" s="480"/>
      <c r="G42" s="480"/>
      <c r="H42" s="480"/>
      <c r="I42" s="480"/>
      <c r="J42" s="480"/>
    </row>
    <row r="43" spans="2:10" ht="15.75" thickBot="1">
      <c r="B43" s="481" t="s">
        <v>118</v>
      </c>
      <c r="C43" s="488">
        <v>373</v>
      </c>
      <c r="D43" s="480"/>
      <c r="E43" s="480"/>
      <c r="F43" s="480"/>
      <c r="G43" s="480"/>
      <c r="H43" s="480"/>
      <c r="I43" s="480"/>
      <c r="J43" s="480"/>
    </row>
    <row r="44" spans="2:10" ht="16.5" thickBot="1" thickTop="1">
      <c r="B44" s="489" t="s">
        <v>236</v>
      </c>
      <c r="C44" s="489"/>
      <c r="D44" s="490"/>
      <c r="E44" s="480"/>
      <c r="F44" s="480"/>
      <c r="G44" s="480"/>
      <c r="H44" s="480"/>
      <c r="I44" s="480"/>
      <c r="J44" s="480"/>
    </row>
    <row r="45" spans="2:10" ht="15.75" thickBot="1">
      <c r="B45" s="491" t="s">
        <v>381</v>
      </c>
      <c r="C45" s="355"/>
      <c r="D45" s="480"/>
      <c r="E45" s="480"/>
      <c r="F45" s="480"/>
      <c r="G45" s="480"/>
      <c r="H45" s="480"/>
      <c r="I45" s="480"/>
      <c r="J45" s="480"/>
    </row>
    <row r="46" spans="2:10" ht="14.25">
      <c r="B46" s="482" t="s">
        <v>378</v>
      </c>
      <c r="C46" s="492">
        <v>276949</v>
      </c>
      <c r="D46" s="480"/>
      <c r="E46" s="480"/>
      <c r="F46" s="480"/>
      <c r="G46" s="480"/>
      <c r="H46" s="480"/>
      <c r="I46" s="480"/>
      <c r="J46" s="480"/>
    </row>
    <row r="47" spans="2:10" ht="15" thickBot="1">
      <c r="B47" s="486" t="s">
        <v>379</v>
      </c>
      <c r="C47" s="487">
        <v>134</v>
      </c>
      <c r="D47" s="480"/>
      <c r="E47" s="480"/>
      <c r="F47" s="480"/>
      <c r="G47" s="480"/>
      <c r="H47" s="480"/>
      <c r="I47" s="480"/>
      <c r="J47" s="480"/>
    </row>
    <row r="48" spans="2:10" ht="15.75" thickBot="1">
      <c r="B48" s="491" t="s">
        <v>380</v>
      </c>
      <c r="C48" s="355"/>
      <c r="D48" s="480"/>
      <c r="E48" s="480"/>
      <c r="F48" s="480"/>
      <c r="G48" s="480"/>
      <c r="H48" s="480"/>
      <c r="I48" s="480"/>
      <c r="J48" s="480"/>
    </row>
    <row r="49" spans="2:10" ht="14.25">
      <c r="B49" s="482" t="s">
        <v>378</v>
      </c>
      <c r="C49" s="492">
        <v>825726</v>
      </c>
      <c r="D49" s="480"/>
      <c r="E49" s="480"/>
      <c r="F49" s="480"/>
      <c r="G49" s="480"/>
      <c r="H49" s="480"/>
      <c r="I49" s="480"/>
      <c r="J49" s="480"/>
    </row>
    <row r="50" spans="2:10" ht="15" thickBot="1">
      <c r="B50" s="486" t="s">
        <v>379</v>
      </c>
      <c r="C50" s="487">
        <v>557</v>
      </c>
      <c r="D50" s="480"/>
      <c r="E50" s="480"/>
      <c r="F50" s="480"/>
      <c r="G50" s="480"/>
      <c r="H50" s="480"/>
      <c r="I50" s="480"/>
      <c r="J50" s="480"/>
    </row>
    <row r="51" spans="2:10" ht="14.25">
      <c r="B51" s="501"/>
      <c r="C51" s="490"/>
      <c r="D51" s="480"/>
      <c r="E51" s="480"/>
      <c r="F51" s="480"/>
      <c r="G51" s="480"/>
      <c r="H51" s="480"/>
      <c r="I51" s="480"/>
      <c r="J51" s="480"/>
    </row>
    <row r="52" spans="2:10" ht="12.75">
      <c r="B52" s="480"/>
      <c r="C52" s="480"/>
      <c r="D52" s="480"/>
      <c r="E52" s="480"/>
      <c r="F52" s="480"/>
      <c r="G52" s="480"/>
      <c r="H52" s="480"/>
      <c r="I52" s="480"/>
      <c r="J52" s="480"/>
    </row>
    <row r="53" spans="2:10" ht="18">
      <c r="B53" s="70" t="s">
        <v>244</v>
      </c>
      <c r="C53" s="70"/>
      <c r="D53" s="70"/>
      <c r="E53" s="70"/>
      <c r="F53" s="70"/>
      <c r="G53" s="70"/>
      <c r="H53" s="70"/>
      <c r="I53" s="480"/>
      <c r="J53" s="480"/>
    </row>
    <row r="54" spans="2:10" ht="12.75">
      <c r="B54" s="480"/>
      <c r="C54" s="480"/>
      <c r="D54" s="480"/>
      <c r="E54" s="480"/>
      <c r="F54" s="480"/>
      <c r="G54" s="480"/>
      <c r="H54" s="480"/>
      <c r="I54" s="480"/>
      <c r="J54" s="480"/>
    </row>
    <row r="55" spans="2:10" ht="15">
      <c r="B55" s="355" t="s">
        <v>321</v>
      </c>
      <c r="C55" s="615" t="s">
        <v>382</v>
      </c>
      <c r="D55" s="615"/>
      <c r="E55" s="615"/>
      <c r="F55" s="615"/>
      <c r="G55" s="615"/>
      <c r="H55" s="329" t="s">
        <v>118</v>
      </c>
      <c r="I55" s="480"/>
      <c r="J55" s="480"/>
    </row>
    <row r="56" spans="2:10" ht="15.75" thickBot="1">
      <c r="B56" s="493"/>
      <c r="C56" s="494" t="s">
        <v>237</v>
      </c>
      <c r="D56" s="494" t="s">
        <v>238</v>
      </c>
      <c r="E56" s="494" t="s">
        <v>129</v>
      </c>
      <c r="F56" s="494" t="s">
        <v>130</v>
      </c>
      <c r="G56" s="494" t="s">
        <v>239</v>
      </c>
      <c r="H56" s="495"/>
      <c r="I56" s="480"/>
      <c r="J56" s="480"/>
    </row>
    <row r="57" spans="2:10" ht="15">
      <c r="B57" s="147" t="s">
        <v>227</v>
      </c>
      <c r="C57" s="496">
        <v>3</v>
      </c>
      <c r="D57" s="496">
        <v>2</v>
      </c>
      <c r="E57" s="496">
        <v>3</v>
      </c>
      <c r="F57" s="496">
        <v>6</v>
      </c>
      <c r="G57" s="496">
        <v>3</v>
      </c>
      <c r="H57" s="497">
        <v>17</v>
      </c>
      <c r="I57" s="480"/>
      <c r="J57" s="480"/>
    </row>
    <row r="58" spans="2:10" ht="15">
      <c r="B58" s="155" t="s">
        <v>228</v>
      </c>
      <c r="C58" s="129">
        <v>2</v>
      </c>
      <c r="D58" s="129">
        <v>1</v>
      </c>
      <c r="E58" s="129"/>
      <c r="F58" s="129">
        <v>1</v>
      </c>
      <c r="G58" s="129">
        <v>1</v>
      </c>
      <c r="H58" s="498">
        <v>5</v>
      </c>
      <c r="I58" s="480"/>
      <c r="J58" s="480"/>
    </row>
    <row r="59" spans="2:10" ht="15">
      <c r="B59" s="155" t="s">
        <v>71</v>
      </c>
      <c r="C59" s="129"/>
      <c r="D59" s="129">
        <v>1</v>
      </c>
      <c r="E59" s="129"/>
      <c r="F59" s="129">
        <v>2</v>
      </c>
      <c r="G59" s="129">
        <v>1</v>
      </c>
      <c r="H59" s="498">
        <v>4</v>
      </c>
      <c r="I59" s="480"/>
      <c r="J59" s="480"/>
    </row>
    <row r="60" spans="2:10" ht="15">
      <c r="B60" s="155" t="s">
        <v>80</v>
      </c>
      <c r="C60" s="129"/>
      <c r="D60" s="129"/>
      <c r="E60" s="129"/>
      <c r="F60" s="129"/>
      <c r="G60" s="129">
        <v>1</v>
      </c>
      <c r="H60" s="498">
        <v>1</v>
      </c>
      <c r="I60" s="480"/>
      <c r="J60" s="480"/>
    </row>
    <row r="61" spans="2:10" ht="15">
      <c r="B61" s="155" t="s">
        <v>87</v>
      </c>
      <c r="C61" s="129"/>
      <c r="D61" s="129"/>
      <c r="E61" s="129"/>
      <c r="F61" s="129"/>
      <c r="G61" s="129"/>
      <c r="H61" s="498"/>
      <c r="I61" s="480"/>
      <c r="J61" s="480"/>
    </row>
    <row r="62" spans="2:10" ht="15.75" thickBot="1">
      <c r="B62" s="150" t="s">
        <v>92</v>
      </c>
      <c r="C62" s="178"/>
      <c r="D62" s="178"/>
      <c r="E62" s="178"/>
      <c r="F62" s="178"/>
      <c r="G62" s="178"/>
      <c r="H62" s="499"/>
      <c r="I62" s="480"/>
      <c r="J62" s="480"/>
    </row>
    <row r="63" spans="2:10" ht="15">
      <c r="B63" s="500" t="s">
        <v>12</v>
      </c>
      <c r="C63" s="488">
        <v>5</v>
      </c>
      <c r="D63" s="488">
        <v>4</v>
      </c>
      <c r="E63" s="488">
        <v>3</v>
      </c>
      <c r="F63" s="488">
        <v>9</v>
      </c>
      <c r="G63" s="488">
        <v>6</v>
      </c>
      <c r="H63" s="488">
        <v>27</v>
      </c>
      <c r="I63" s="480"/>
      <c r="J63" s="480"/>
    </row>
    <row r="64" spans="2:10" ht="12.75">
      <c r="B64" s="480"/>
      <c r="C64" s="480"/>
      <c r="D64" s="480"/>
      <c r="E64" s="480"/>
      <c r="F64" s="480"/>
      <c r="G64" s="480"/>
      <c r="H64" s="480"/>
      <c r="I64" s="480"/>
      <c r="J64" s="480"/>
    </row>
    <row r="65" spans="2:10" ht="15.75" thickBot="1">
      <c r="B65" s="614" t="s">
        <v>240</v>
      </c>
      <c r="C65" s="614"/>
      <c r="D65" s="614"/>
      <c r="E65" s="614"/>
      <c r="F65" s="614"/>
      <c r="G65" s="614"/>
      <c r="H65" s="614"/>
      <c r="I65" s="480"/>
      <c r="J65" s="480"/>
    </row>
    <row r="66" spans="2:10" ht="15">
      <c r="B66" s="147" t="s">
        <v>227</v>
      </c>
      <c r="C66" s="496">
        <v>15</v>
      </c>
      <c r="D66" s="496">
        <v>16</v>
      </c>
      <c r="E66" s="496">
        <v>16</v>
      </c>
      <c r="F66" s="496">
        <v>9</v>
      </c>
      <c r="G66" s="496">
        <v>6</v>
      </c>
      <c r="H66" s="497">
        <v>62</v>
      </c>
      <c r="I66" s="480"/>
      <c r="J66" s="480"/>
    </row>
    <row r="67" spans="2:10" ht="15">
      <c r="B67" s="155" t="s">
        <v>228</v>
      </c>
      <c r="C67" s="129">
        <v>4</v>
      </c>
      <c r="D67" s="129">
        <v>6</v>
      </c>
      <c r="E67" s="129">
        <v>3</v>
      </c>
      <c r="F67" s="129">
        <v>7</v>
      </c>
      <c r="G67" s="129">
        <v>3</v>
      </c>
      <c r="H67" s="498">
        <v>11</v>
      </c>
      <c r="I67" s="480"/>
      <c r="J67" s="480"/>
    </row>
    <row r="68" spans="2:10" ht="15">
      <c r="B68" s="155" t="s">
        <v>71</v>
      </c>
      <c r="C68" s="129">
        <v>1</v>
      </c>
      <c r="D68" s="129">
        <v>4</v>
      </c>
      <c r="E68" s="129">
        <v>1</v>
      </c>
      <c r="F68" s="129">
        <v>12</v>
      </c>
      <c r="G68" s="129">
        <v>7</v>
      </c>
      <c r="H68" s="498">
        <v>23</v>
      </c>
      <c r="I68" s="480"/>
      <c r="J68" s="480"/>
    </row>
    <row r="69" spans="2:10" ht="15">
      <c r="B69" s="155" t="s">
        <v>80</v>
      </c>
      <c r="C69" s="129">
        <v>0</v>
      </c>
      <c r="D69" s="129">
        <v>0</v>
      </c>
      <c r="E69" s="129">
        <v>1</v>
      </c>
      <c r="F69" s="129">
        <v>2</v>
      </c>
      <c r="G69" s="129">
        <v>4</v>
      </c>
      <c r="H69" s="498">
        <v>7</v>
      </c>
      <c r="I69" s="480"/>
      <c r="J69" s="480"/>
    </row>
    <row r="70" spans="2:10" ht="15">
      <c r="B70" s="155" t="s">
        <v>87</v>
      </c>
      <c r="C70" s="129">
        <v>0</v>
      </c>
      <c r="D70" s="129">
        <v>9</v>
      </c>
      <c r="E70" s="129">
        <v>7</v>
      </c>
      <c r="F70" s="129">
        <v>5</v>
      </c>
      <c r="G70" s="321">
        <v>7</v>
      </c>
      <c r="H70" s="498">
        <v>30</v>
      </c>
      <c r="I70" s="480"/>
      <c r="J70" s="480"/>
    </row>
    <row r="71" spans="2:10" ht="15.75" thickBot="1">
      <c r="B71" s="150" t="s">
        <v>92</v>
      </c>
      <c r="C71" s="178">
        <v>0</v>
      </c>
      <c r="D71" s="178">
        <v>1</v>
      </c>
      <c r="E71" s="178">
        <v>0</v>
      </c>
      <c r="F71" s="178">
        <v>0</v>
      </c>
      <c r="G71" s="178">
        <v>0</v>
      </c>
      <c r="H71" s="499">
        <v>1</v>
      </c>
      <c r="I71" s="480"/>
      <c r="J71" s="480"/>
    </row>
    <row r="72" spans="2:10" ht="15">
      <c r="B72" s="500" t="s">
        <v>12</v>
      </c>
      <c r="C72" s="488">
        <v>19</v>
      </c>
      <c r="D72" s="488">
        <v>32</v>
      </c>
      <c r="E72" s="488">
        <v>31</v>
      </c>
      <c r="F72" s="488">
        <v>49</v>
      </c>
      <c r="G72" s="488">
        <v>34</v>
      </c>
      <c r="H72" s="488">
        <v>165</v>
      </c>
      <c r="I72" s="480"/>
      <c r="J72" s="480"/>
    </row>
    <row r="73" spans="2:10" ht="14.25">
      <c r="B73" s="321"/>
      <c r="C73" s="321"/>
      <c r="D73" s="321"/>
      <c r="E73" s="321"/>
      <c r="F73" s="321"/>
      <c r="G73" s="321"/>
      <c r="H73" s="321"/>
      <c r="I73" s="480"/>
      <c r="J73" s="480"/>
    </row>
    <row r="74" spans="2:10" ht="15.75" thickBot="1">
      <c r="B74" s="614" t="s">
        <v>241</v>
      </c>
      <c r="C74" s="614"/>
      <c r="D74" s="614"/>
      <c r="E74" s="614"/>
      <c r="F74" s="614"/>
      <c r="G74" s="614"/>
      <c r="H74" s="614"/>
      <c r="I74" s="480"/>
      <c r="J74" s="480"/>
    </row>
    <row r="75" spans="2:10" ht="14.25">
      <c r="B75" s="147" t="s">
        <v>227</v>
      </c>
      <c r="C75" s="496">
        <v>17</v>
      </c>
      <c r="D75" s="496">
        <v>10</v>
      </c>
      <c r="E75" s="496">
        <v>38</v>
      </c>
      <c r="F75" s="496">
        <v>133</v>
      </c>
      <c r="G75" s="496">
        <v>110</v>
      </c>
      <c r="H75" s="496">
        <v>308</v>
      </c>
      <c r="I75" s="480"/>
      <c r="J75" s="480"/>
    </row>
    <row r="76" spans="2:10" ht="14.25">
      <c r="B76" s="155" t="s">
        <v>228</v>
      </c>
      <c r="C76" s="129">
        <v>26</v>
      </c>
      <c r="D76" s="129">
        <v>9</v>
      </c>
      <c r="E76" s="129">
        <v>18</v>
      </c>
      <c r="F76" s="129">
        <v>73</v>
      </c>
      <c r="G76" s="129">
        <v>123</v>
      </c>
      <c r="H76" s="129">
        <v>249</v>
      </c>
      <c r="I76" s="480"/>
      <c r="J76" s="480"/>
    </row>
    <row r="77" spans="2:10" ht="14.25">
      <c r="B77" s="155" t="s">
        <v>71</v>
      </c>
      <c r="C77" s="129">
        <v>1</v>
      </c>
      <c r="D77" s="129">
        <v>14</v>
      </c>
      <c r="E77" s="129">
        <v>5</v>
      </c>
      <c r="F77" s="129">
        <v>31</v>
      </c>
      <c r="G77" s="129">
        <v>49</v>
      </c>
      <c r="H77" s="129">
        <v>100</v>
      </c>
      <c r="I77" s="480"/>
      <c r="J77" s="480"/>
    </row>
    <row r="78" spans="2:10" ht="14.25">
      <c r="B78" s="155" t="s">
        <v>80</v>
      </c>
      <c r="C78" s="129">
        <v>6</v>
      </c>
      <c r="D78" s="129">
        <v>0</v>
      </c>
      <c r="E78" s="129">
        <v>4</v>
      </c>
      <c r="F78" s="129">
        <v>21</v>
      </c>
      <c r="G78" s="129">
        <v>26</v>
      </c>
      <c r="H78" s="129">
        <v>57</v>
      </c>
      <c r="I78" s="480"/>
      <c r="J78" s="480"/>
    </row>
    <row r="79" spans="2:10" ht="14.25">
      <c r="B79" s="155" t="s">
        <v>87</v>
      </c>
      <c r="C79" s="129">
        <v>0</v>
      </c>
      <c r="D79" s="129">
        <v>3</v>
      </c>
      <c r="E79" s="129">
        <v>6</v>
      </c>
      <c r="F79" s="129">
        <v>28</v>
      </c>
      <c r="G79" s="129">
        <v>34</v>
      </c>
      <c r="H79" s="129">
        <v>71</v>
      </c>
      <c r="I79" s="480"/>
      <c r="J79" s="480"/>
    </row>
    <row r="80" spans="2:10" ht="15.75" thickBot="1">
      <c r="B80" s="150" t="s">
        <v>92</v>
      </c>
      <c r="C80" s="178">
        <v>0</v>
      </c>
      <c r="D80" s="178">
        <v>0</v>
      </c>
      <c r="E80" s="178">
        <v>0</v>
      </c>
      <c r="F80" s="178">
        <v>2</v>
      </c>
      <c r="G80" s="178">
        <v>11</v>
      </c>
      <c r="H80" s="499">
        <v>13</v>
      </c>
      <c r="I80" s="480"/>
      <c r="J80" s="480"/>
    </row>
    <row r="81" spans="2:10" ht="15">
      <c r="B81" s="500" t="s">
        <v>12</v>
      </c>
      <c r="C81" s="488">
        <v>50</v>
      </c>
      <c r="D81" s="488">
        <v>36</v>
      </c>
      <c r="E81" s="488">
        <v>71</v>
      </c>
      <c r="F81" s="488">
        <v>288</v>
      </c>
      <c r="G81" s="488">
        <v>353</v>
      </c>
      <c r="H81" s="488">
        <v>798</v>
      </c>
      <c r="I81" s="480"/>
      <c r="J81" s="480"/>
    </row>
    <row r="82" spans="2:10" ht="14.25">
      <c r="B82" s="321"/>
      <c r="C82" s="321"/>
      <c r="D82" s="321"/>
      <c r="E82" s="321"/>
      <c r="F82" s="321"/>
      <c r="G82" s="321"/>
      <c r="H82" s="321"/>
      <c r="I82" s="480"/>
      <c r="J82" s="480"/>
    </row>
    <row r="83" spans="2:10" ht="15.75" thickBot="1">
      <c r="B83" s="614" t="s">
        <v>242</v>
      </c>
      <c r="C83" s="614"/>
      <c r="D83" s="614"/>
      <c r="E83" s="614"/>
      <c r="F83" s="614"/>
      <c r="G83" s="614"/>
      <c r="H83" s="614"/>
      <c r="I83" s="480"/>
      <c r="J83" s="480"/>
    </row>
    <row r="84" spans="2:10" ht="14.25">
      <c r="B84" s="147" t="s">
        <v>227</v>
      </c>
      <c r="C84" s="496">
        <v>32</v>
      </c>
      <c r="D84" s="496">
        <v>26</v>
      </c>
      <c r="E84" s="496">
        <v>54</v>
      </c>
      <c r="F84" s="496">
        <v>142</v>
      </c>
      <c r="G84" s="496">
        <v>116</v>
      </c>
      <c r="H84" s="496">
        <v>370</v>
      </c>
      <c r="I84" s="480"/>
      <c r="J84" s="480"/>
    </row>
    <row r="85" spans="2:10" ht="14.25">
      <c r="B85" s="155" t="s">
        <v>228</v>
      </c>
      <c r="C85" s="129">
        <v>30</v>
      </c>
      <c r="D85" s="129">
        <v>15</v>
      </c>
      <c r="E85" s="129">
        <v>21</v>
      </c>
      <c r="F85" s="129">
        <v>80</v>
      </c>
      <c r="G85" s="129">
        <v>126</v>
      </c>
      <c r="H85" s="129">
        <v>260</v>
      </c>
      <c r="I85" s="480"/>
      <c r="J85" s="480"/>
    </row>
    <row r="86" spans="2:10" ht="14.25">
      <c r="B86" s="155" t="s">
        <v>71</v>
      </c>
      <c r="C86" s="129">
        <v>2</v>
      </c>
      <c r="D86" s="129">
        <v>18</v>
      </c>
      <c r="E86" s="129">
        <v>6</v>
      </c>
      <c r="F86" s="129">
        <v>43</v>
      </c>
      <c r="G86" s="129">
        <v>56</v>
      </c>
      <c r="H86" s="129">
        <v>123</v>
      </c>
      <c r="I86" s="480"/>
      <c r="J86" s="480"/>
    </row>
    <row r="87" spans="2:10" ht="14.25">
      <c r="B87" s="155" t="s">
        <v>80</v>
      </c>
      <c r="C87" s="129">
        <v>6</v>
      </c>
      <c r="D87" s="129">
        <v>0</v>
      </c>
      <c r="E87" s="129">
        <v>5</v>
      </c>
      <c r="F87" s="129">
        <v>23</v>
      </c>
      <c r="G87" s="129">
        <v>30</v>
      </c>
      <c r="H87" s="129">
        <v>64</v>
      </c>
      <c r="I87" s="480"/>
      <c r="J87" s="480"/>
    </row>
    <row r="88" spans="2:10" ht="14.25">
      <c r="B88" s="155" t="s">
        <v>87</v>
      </c>
      <c r="C88" s="129">
        <v>0</v>
      </c>
      <c r="D88" s="129">
        <v>12</v>
      </c>
      <c r="E88" s="129">
        <v>13</v>
      </c>
      <c r="F88" s="129">
        <v>33</v>
      </c>
      <c r="G88" s="129">
        <v>41</v>
      </c>
      <c r="H88" s="129">
        <v>101</v>
      </c>
      <c r="I88" s="480"/>
      <c r="J88" s="480"/>
    </row>
    <row r="89" spans="2:10" ht="15.75" thickBot="1">
      <c r="B89" s="150" t="s">
        <v>92</v>
      </c>
      <c r="C89" s="178">
        <v>0</v>
      </c>
      <c r="D89" s="178">
        <v>1</v>
      </c>
      <c r="E89" s="178">
        <v>0</v>
      </c>
      <c r="F89" s="178">
        <v>2</v>
      </c>
      <c r="G89" s="178">
        <v>11</v>
      </c>
      <c r="H89" s="499">
        <v>14</v>
      </c>
      <c r="I89" s="480"/>
      <c r="J89" s="480"/>
    </row>
    <row r="90" spans="2:10" ht="15">
      <c r="B90" s="500" t="s">
        <v>12</v>
      </c>
      <c r="C90" s="488">
        <v>69</v>
      </c>
      <c r="D90" s="488">
        <v>68</v>
      </c>
      <c r="E90" s="488">
        <v>102</v>
      </c>
      <c r="F90" s="488">
        <v>337</v>
      </c>
      <c r="G90" s="488">
        <v>387</v>
      </c>
      <c r="H90" s="488">
        <v>963</v>
      </c>
      <c r="I90" s="480"/>
      <c r="J90" s="480"/>
    </row>
    <row r="91" spans="2:10" ht="12.75">
      <c r="B91" s="480"/>
      <c r="C91" s="480"/>
      <c r="D91" s="480"/>
      <c r="E91" s="480"/>
      <c r="F91" s="480"/>
      <c r="G91" s="480"/>
      <c r="H91" s="480"/>
      <c r="I91" s="480"/>
      <c r="J91" s="480"/>
    </row>
    <row r="92" spans="2:10" ht="12.75">
      <c r="B92" s="480"/>
      <c r="C92" s="480"/>
      <c r="D92" s="480"/>
      <c r="E92" s="480"/>
      <c r="F92" s="480"/>
      <c r="G92" s="480"/>
      <c r="H92" s="480"/>
      <c r="I92" s="480"/>
      <c r="J92" s="480"/>
    </row>
    <row r="93" spans="2:10" ht="12.75">
      <c r="B93" s="480"/>
      <c r="C93" s="480"/>
      <c r="D93" s="480"/>
      <c r="E93" s="480"/>
      <c r="F93" s="480"/>
      <c r="G93" s="480"/>
      <c r="H93" s="480"/>
      <c r="I93" s="480"/>
      <c r="J93" s="480"/>
    </row>
  </sheetData>
  <mergeCells count="5">
    <mergeCell ref="B38:C38"/>
    <mergeCell ref="B83:H83"/>
    <mergeCell ref="B65:H65"/>
    <mergeCell ref="B74:H74"/>
    <mergeCell ref="C55:G55"/>
  </mergeCells>
  <printOptions/>
  <pageMargins left="0.75" right="0.75" top="0.3" bottom="0.37" header="0" footer="0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2"/>
  <sheetViews>
    <sheetView workbookViewId="0" topLeftCell="B1">
      <selection activeCell="B1" sqref="A1:IV1"/>
    </sheetView>
  </sheetViews>
  <sheetFormatPr defaultColWidth="9.140625" defaultRowHeight="12.75"/>
  <cols>
    <col min="2" max="2" width="30.8515625" style="0" customWidth="1"/>
    <col min="3" max="3" width="17.421875" style="0" bestFit="1" customWidth="1"/>
    <col min="4" max="4" width="12.7109375" style="0" customWidth="1"/>
    <col min="5" max="5" width="13.8515625" style="0" bestFit="1" customWidth="1"/>
    <col min="6" max="8" width="12.7109375" style="0" customWidth="1"/>
    <col min="9" max="9" width="16.421875" style="0" customWidth="1"/>
    <col min="10" max="13" width="12.7109375" style="0" customWidth="1"/>
  </cols>
  <sheetData>
    <row r="1" spans="2:9" ht="18">
      <c r="B1" s="70" t="s">
        <v>246</v>
      </c>
      <c r="C1" s="70"/>
      <c r="D1" s="70"/>
      <c r="E1" s="70"/>
      <c r="F1" s="70"/>
      <c r="G1" s="70"/>
      <c r="H1" s="70"/>
      <c r="I1" s="70"/>
    </row>
    <row r="3" spans="2:9" ht="15.75" thickBot="1">
      <c r="B3" s="502" t="s">
        <v>321</v>
      </c>
      <c r="C3" s="494" t="s">
        <v>383</v>
      </c>
      <c r="D3" s="494" t="s">
        <v>196</v>
      </c>
      <c r="E3" s="494" t="s">
        <v>376</v>
      </c>
      <c r="F3" s="494" t="s">
        <v>196</v>
      </c>
      <c r="G3" s="494" t="s">
        <v>384</v>
      </c>
      <c r="H3" s="494" t="s">
        <v>196</v>
      </c>
      <c r="I3" s="494" t="s">
        <v>118</v>
      </c>
    </row>
    <row r="4" spans="2:9" ht="14.25">
      <c r="B4" s="147" t="s">
        <v>227</v>
      </c>
      <c r="C4" s="536">
        <v>503552.02</v>
      </c>
      <c r="D4" s="528">
        <v>0.1856396640668088</v>
      </c>
      <c r="E4" s="536">
        <v>127399.57</v>
      </c>
      <c r="F4" s="528">
        <v>0.04696717009904139</v>
      </c>
      <c r="G4" s="536">
        <v>4284.51</v>
      </c>
      <c r="H4" s="528">
        <v>0.0015795289572880333</v>
      </c>
      <c r="I4" s="536">
        <v>635236.1</v>
      </c>
    </row>
    <row r="5" spans="2:9" ht="14.25">
      <c r="B5" s="155" t="s">
        <v>228</v>
      </c>
      <c r="C5" s="537">
        <v>868419.95</v>
      </c>
      <c r="D5" s="529">
        <v>0.32015200293887186</v>
      </c>
      <c r="E5" s="537">
        <v>113836.44</v>
      </c>
      <c r="F5" s="529">
        <v>0.041966981842633526</v>
      </c>
      <c r="G5" s="537">
        <v>3224.16</v>
      </c>
      <c r="H5" s="529">
        <v>0.0011886199548909408</v>
      </c>
      <c r="I5" s="537">
        <v>985480.55</v>
      </c>
    </row>
    <row r="6" spans="2:9" ht="14.25">
      <c r="B6" s="155" t="s">
        <v>71</v>
      </c>
      <c r="C6" s="537">
        <v>431522.15</v>
      </c>
      <c r="D6" s="529">
        <v>0.15908510696350114</v>
      </c>
      <c r="E6" s="537">
        <v>189785.75</v>
      </c>
      <c r="F6" s="529">
        <v>0.06996648106916015</v>
      </c>
      <c r="G6" s="537">
        <v>1249.48</v>
      </c>
      <c r="H6" s="529">
        <v>0.0004606337344415702</v>
      </c>
      <c r="I6" s="537">
        <v>622557.38</v>
      </c>
    </row>
    <row r="7" spans="2:9" ht="14.25">
      <c r="B7" s="155" t="s">
        <v>80</v>
      </c>
      <c r="C7" s="537">
        <v>48346.23</v>
      </c>
      <c r="D7" s="529">
        <v>0.017823338085500427</v>
      </c>
      <c r="E7" s="537">
        <v>44004.36</v>
      </c>
      <c r="F7" s="529">
        <v>0.016222662770521538</v>
      </c>
      <c r="G7" s="537">
        <v>827.98</v>
      </c>
      <c r="H7" s="529">
        <v>0.0003052433968074169</v>
      </c>
      <c r="I7" s="537">
        <v>93178.57</v>
      </c>
    </row>
    <row r="8" spans="2:9" ht="14.25">
      <c r="B8" s="155" t="s">
        <v>87</v>
      </c>
      <c r="C8" s="537">
        <v>197779.62</v>
      </c>
      <c r="D8" s="529">
        <v>0.07291350398328476</v>
      </c>
      <c r="E8" s="537">
        <v>77049.5</v>
      </c>
      <c r="F8" s="529">
        <v>0.028405095657278036</v>
      </c>
      <c r="G8" s="537">
        <v>635.15</v>
      </c>
      <c r="H8" s="529">
        <v>0.00023415462146698089</v>
      </c>
      <c r="I8" s="537">
        <v>275464.27</v>
      </c>
    </row>
    <row r="9" spans="2:9" ht="15" thickBot="1">
      <c r="B9" s="150" t="s">
        <v>92</v>
      </c>
      <c r="C9" s="538">
        <v>55838.96</v>
      </c>
      <c r="D9" s="539">
        <v>0.020585610551696273</v>
      </c>
      <c r="E9" s="538">
        <v>44696.16</v>
      </c>
      <c r="F9" s="539">
        <v>0.01647770200083069</v>
      </c>
      <c r="G9" s="538">
        <v>71.88</v>
      </c>
      <c r="H9" s="539">
        <v>2.649930597661432E-05</v>
      </c>
      <c r="I9" s="538">
        <v>100607</v>
      </c>
    </row>
    <row r="10" spans="2:9" ht="15">
      <c r="B10" s="533" t="s">
        <v>118</v>
      </c>
      <c r="C10" s="540">
        <v>2105458.93</v>
      </c>
      <c r="D10" s="541">
        <v>0.7761992265896633</v>
      </c>
      <c r="E10" s="540">
        <v>596771.78</v>
      </c>
      <c r="F10" s="541">
        <v>0.22000609343946534</v>
      </c>
      <c r="G10" s="534">
        <v>10293.16</v>
      </c>
      <c r="H10" s="541">
        <v>0.0037946799708715555</v>
      </c>
      <c r="I10" s="540">
        <v>2712523.87</v>
      </c>
    </row>
    <row r="11" ht="12.75">
      <c r="I11" s="180"/>
    </row>
    <row r="14" spans="2:6" ht="12.75">
      <c r="B14" s="181" t="s">
        <v>122</v>
      </c>
      <c r="C14" s="182" t="s">
        <v>165</v>
      </c>
      <c r="D14" s="182" t="s">
        <v>261</v>
      </c>
      <c r="E14" s="182" t="s">
        <v>267</v>
      </c>
      <c r="F14" s="182" t="s">
        <v>268</v>
      </c>
    </row>
    <row r="15" spans="2:6" ht="12.75">
      <c r="B15" s="183" t="s">
        <v>228</v>
      </c>
      <c r="C15" s="184">
        <v>985480.55</v>
      </c>
      <c r="D15" s="185">
        <v>9672</v>
      </c>
      <c r="E15" s="186">
        <v>0.3633076047363963</v>
      </c>
      <c r="F15" s="186">
        <v>0.26904781774180087</v>
      </c>
    </row>
    <row r="16" spans="2:6" ht="12.75">
      <c r="B16" s="187" t="s">
        <v>227</v>
      </c>
      <c r="C16" s="188">
        <v>635236.1</v>
      </c>
      <c r="D16" s="189">
        <v>14026</v>
      </c>
      <c r="E16" s="190">
        <v>0.23418636312313815</v>
      </c>
      <c r="F16" s="190">
        <v>0.39016384322234277</v>
      </c>
    </row>
    <row r="17" spans="2:6" ht="12.75">
      <c r="B17" s="187" t="s">
        <v>71</v>
      </c>
      <c r="C17" s="188">
        <v>622557.38</v>
      </c>
      <c r="D17" s="189">
        <v>7733</v>
      </c>
      <c r="E17" s="190">
        <v>0.22951222176710281</v>
      </c>
      <c r="F17" s="190">
        <v>0.2151102951403377</v>
      </c>
    </row>
    <row r="18" spans="2:6" ht="12.75">
      <c r="B18" s="187" t="s">
        <v>87</v>
      </c>
      <c r="C18" s="188">
        <v>275464.27</v>
      </c>
      <c r="D18" s="189">
        <v>845</v>
      </c>
      <c r="E18" s="190">
        <v>0.10155275426202978</v>
      </c>
      <c r="F18" s="190">
        <v>0.02350552171131325</v>
      </c>
    </row>
    <row r="19" spans="2:6" ht="12.75">
      <c r="B19" s="187" t="s">
        <v>92</v>
      </c>
      <c r="C19" s="188">
        <v>100607</v>
      </c>
      <c r="D19" s="189">
        <v>676</v>
      </c>
      <c r="E19" s="190">
        <v>0.03708981185850357</v>
      </c>
      <c r="F19" s="190">
        <v>0.0188044173690506</v>
      </c>
    </row>
    <row r="20" spans="2:6" ht="12.75">
      <c r="B20" s="191" t="s">
        <v>80</v>
      </c>
      <c r="C20" s="192">
        <v>93178.57</v>
      </c>
      <c r="D20" s="193">
        <v>2997</v>
      </c>
      <c r="E20" s="194">
        <v>0.03435124425282938</v>
      </c>
      <c r="F20" s="194">
        <v>0.0833681048151548</v>
      </c>
    </row>
    <row r="21" spans="2:6" ht="13.5">
      <c r="B21" s="195" t="s">
        <v>12</v>
      </c>
      <c r="C21" s="196">
        <v>2712523.87</v>
      </c>
      <c r="D21" s="197">
        <v>35949</v>
      </c>
      <c r="E21" s="198">
        <v>1</v>
      </c>
      <c r="F21" s="198">
        <v>1</v>
      </c>
    </row>
    <row r="36" spans="2:9" ht="18">
      <c r="B36" s="70" t="s">
        <v>247</v>
      </c>
      <c r="C36" s="70"/>
      <c r="D36" s="70"/>
      <c r="E36" s="70"/>
      <c r="F36" s="70"/>
      <c r="G36" s="70"/>
      <c r="H36" s="70"/>
      <c r="I36" s="70"/>
    </row>
    <row r="38" spans="2:9" ht="15.75" thickBot="1">
      <c r="B38" s="502" t="s">
        <v>321</v>
      </c>
      <c r="C38" s="494" t="s">
        <v>383</v>
      </c>
      <c r="D38" s="494" t="s">
        <v>248</v>
      </c>
      <c r="E38" s="494" t="s">
        <v>376</v>
      </c>
      <c r="F38" s="494" t="s">
        <v>248</v>
      </c>
      <c r="G38" s="494" t="s">
        <v>384</v>
      </c>
      <c r="H38" s="494" t="s">
        <v>248</v>
      </c>
      <c r="I38" s="494" t="s">
        <v>118</v>
      </c>
    </row>
    <row r="39" spans="2:9" ht="14.25">
      <c r="B39" s="147" t="s">
        <v>227</v>
      </c>
      <c r="C39" s="104">
        <v>12312</v>
      </c>
      <c r="D39" s="528">
        <v>0.34248518734874406</v>
      </c>
      <c r="E39" s="104">
        <v>1663</v>
      </c>
      <c r="F39" s="528">
        <v>0.04625997941528276</v>
      </c>
      <c r="G39" s="104">
        <v>51</v>
      </c>
      <c r="H39" s="528">
        <v>0.0014186764583159475</v>
      </c>
      <c r="I39" s="104">
        <v>14026</v>
      </c>
    </row>
    <row r="40" spans="2:9" ht="14.25">
      <c r="B40" s="155" t="s">
        <v>228</v>
      </c>
      <c r="C40" s="105">
        <v>8130</v>
      </c>
      <c r="D40" s="529">
        <v>0.22615371776683635</v>
      </c>
      <c r="E40" s="105">
        <v>1479</v>
      </c>
      <c r="F40" s="529">
        <v>0.04114161729116248</v>
      </c>
      <c r="G40" s="105">
        <v>63</v>
      </c>
      <c r="H40" s="529">
        <v>0.0017524826838020528</v>
      </c>
      <c r="I40" s="105">
        <v>9672</v>
      </c>
    </row>
    <row r="41" spans="2:9" ht="14.25">
      <c r="B41" s="155" t="s">
        <v>71</v>
      </c>
      <c r="C41" s="105">
        <v>5389</v>
      </c>
      <c r="D41" s="529">
        <v>0.14990681242871845</v>
      </c>
      <c r="E41" s="105">
        <v>2332</v>
      </c>
      <c r="F41" s="529">
        <v>0.06486967648613313</v>
      </c>
      <c r="G41" s="105">
        <v>12</v>
      </c>
      <c r="H41" s="529">
        <v>0.00033380622548610534</v>
      </c>
      <c r="I41" s="105">
        <v>7733</v>
      </c>
    </row>
    <row r="42" spans="2:9" ht="14.25">
      <c r="B42" s="155" t="s">
        <v>80</v>
      </c>
      <c r="C42" s="105">
        <v>2435</v>
      </c>
      <c r="D42" s="529">
        <v>0.06773484658822221</v>
      </c>
      <c r="E42" s="105">
        <v>553</v>
      </c>
      <c r="F42" s="529">
        <v>0.01538290355781802</v>
      </c>
      <c r="G42" s="105">
        <v>9</v>
      </c>
      <c r="H42" s="529">
        <v>0.000250354669114579</v>
      </c>
      <c r="I42" s="105">
        <v>2997</v>
      </c>
    </row>
    <row r="43" spans="2:9" ht="14.25">
      <c r="B43" s="155" t="s">
        <v>87</v>
      </c>
      <c r="C43" s="105">
        <v>542</v>
      </c>
      <c r="D43" s="529">
        <v>0.01507691451778909</v>
      </c>
      <c r="E43" s="105">
        <v>297</v>
      </c>
      <c r="F43" s="529">
        <v>0.008261704080781107</v>
      </c>
      <c r="G43" s="105">
        <v>6</v>
      </c>
      <c r="H43" s="529">
        <v>0.00016690311274305267</v>
      </c>
      <c r="I43" s="105">
        <v>845</v>
      </c>
    </row>
    <row r="44" spans="2:9" ht="15" thickBot="1">
      <c r="B44" s="530" t="s">
        <v>92</v>
      </c>
      <c r="C44" s="531">
        <v>567</v>
      </c>
      <c r="D44" s="532">
        <v>0.015772344154218475</v>
      </c>
      <c r="E44" s="531">
        <v>105</v>
      </c>
      <c r="F44" s="532">
        <v>0.0029208044730034215</v>
      </c>
      <c r="G44" s="531">
        <v>4</v>
      </c>
      <c r="H44" s="532">
        <v>0.00011126874182870177</v>
      </c>
      <c r="I44" s="531">
        <v>676</v>
      </c>
    </row>
    <row r="45" spans="2:9" ht="15">
      <c r="B45" s="533" t="s">
        <v>12</v>
      </c>
      <c r="C45" s="534">
        <v>29375</v>
      </c>
      <c r="D45" s="535">
        <v>0.8171298228045286</v>
      </c>
      <c r="E45" s="534">
        <v>6429</v>
      </c>
      <c r="F45" s="535">
        <v>0.17883668530418093</v>
      </c>
      <c r="G45" s="534">
        <v>145</v>
      </c>
      <c r="H45" s="535">
        <v>0.004033491891290439</v>
      </c>
      <c r="I45" s="534">
        <v>35949</v>
      </c>
    </row>
    <row r="49" spans="2:9" ht="18">
      <c r="B49" s="70" t="s">
        <v>259</v>
      </c>
      <c r="C49" s="70"/>
      <c r="D49" s="70"/>
      <c r="E49" s="70"/>
      <c r="F49" s="70"/>
      <c r="G49" s="70"/>
      <c r="H49" s="70"/>
      <c r="I49" s="70"/>
    </row>
    <row r="51" spans="2:5" ht="15.75" thickBot="1">
      <c r="B51" s="317" t="s">
        <v>385</v>
      </c>
      <c r="C51" s="316" t="s">
        <v>322</v>
      </c>
      <c r="D51" s="316" t="s">
        <v>192</v>
      </c>
      <c r="E51" s="316" t="s">
        <v>258</v>
      </c>
    </row>
    <row r="52" spans="2:5" ht="14.25">
      <c r="B52" s="518" t="s">
        <v>249</v>
      </c>
      <c r="C52" s="503">
        <v>8656</v>
      </c>
      <c r="D52" s="519">
        <v>0.2946723404255319</v>
      </c>
      <c r="E52" s="520">
        <v>0.2946723404255319</v>
      </c>
    </row>
    <row r="53" spans="2:5" ht="14.25">
      <c r="B53" s="521" t="s">
        <v>250</v>
      </c>
      <c r="C53" s="522">
        <v>5113</v>
      </c>
      <c r="D53" s="523">
        <v>0.1740595744680851</v>
      </c>
      <c r="E53" s="524">
        <v>0.468731914893617</v>
      </c>
    </row>
    <row r="54" spans="2:5" ht="14.25">
      <c r="B54" s="521" t="s">
        <v>251</v>
      </c>
      <c r="C54" s="522">
        <v>2284</v>
      </c>
      <c r="D54" s="523">
        <v>0.0777531914893617</v>
      </c>
      <c r="E54" s="524">
        <v>0.5464851063829786</v>
      </c>
    </row>
    <row r="55" spans="2:5" ht="14.25">
      <c r="B55" s="521" t="s">
        <v>252</v>
      </c>
      <c r="C55" s="522">
        <v>2108</v>
      </c>
      <c r="D55" s="523">
        <v>0.07176170212765957</v>
      </c>
      <c r="E55" s="524">
        <v>0.6182468085106382</v>
      </c>
    </row>
    <row r="56" spans="2:5" ht="14.25">
      <c r="B56" s="521" t="s">
        <v>253</v>
      </c>
      <c r="C56" s="522">
        <v>1898</v>
      </c>
      <c r="D56" s="523">
        <v>0.0646127659574468</v>
      </c>
      <c r="E56" s="524">
        <v>0.682859574468085</v>
      </c>
    </row>
    <row r="57" spans="2:5" ht="14.25">
      <c r="B57" s="521" t="s">
        <v>254</v>
      </c>
      <c r="C57" s="522">
        <v>1654</v>
      </c>
      <c r="D57" s="523">
        <v>0.0563063829787234</v>
      </c>
      <c r="E57" s="524">
        <v>0.7391659574468084</v>
      </c>
    </row>
    <row r="58" spans="2:5" ht="15" thickBot="1">
      <c r="B58" s="219" t="s">
        <v>260</v>
      </c>
      <c r="C58" s="525">
        <v>7662</v>
      </c>
      <c r="D58" s="526">
        <v>0.24382978723404256</v>
      </c>
      <c r="E58" s="527">
        <v>1</v>
      </c>
    </row>
    <row r="59" spans="2:5" ht="15">
      <c r="B59" s="504" t="s">
        <v>118</v>
      </c>
      <c r="C59" s="477">
        <v>29375</v>
      </c>
      <c r="D59" s="505">
        <v>1</v>
      </c>
      <c r="E59" s="476"/>
    </row>
    <row r="60" spans="2:5" ht="12.75">
      <c r="B60" s="264"/>
      <c r="C60" s="264"/>
      <c r="D60" s="264"/>
      <c r="E60" s="264"/>
    </row>
    <row r="64" spans="2:3" ht="15">
      <c r="B64" s="207" t="s">
        <v>257</v>
      </c>
      <c r="C64" s="208" t="s">
        <v>123</v>
      </c>
    </row>
    <row r="65" spans="2:3" ht="13.5" customHeight="1">
      <c r="B65" s="209" t="s">
        <v>249</v>
      </c>
      <c r="C65" s="210">
        <v>8656</v>
      </c>
    </row>
    <row r="66" spans="2:3" ht="14.25">
      <c r="B66" s="211" t="s">
        <v>260</v>
      </c>
      <c r="C66" s="139">
        <v>7662</v>
      </c>
    </row>
    <row r="67" spans="2:3" ht="14.25">
      <c r="B67" s="209" t="s">
        <v>250</v>
      </c>
      <c r="C67" s="221">
        <v>5113</v>
      </c>
    </row>
    <row r="68" spans="2:3" ht="14.25">
      <c r="B68" s="209" t="s">
        <v>251</v>
      </c>
      <c r="C68" s="210">
        <v>2284</v>
      </c>
    </row>
    <row r="69" spans="2:3" ht="14.25">
      <c r="B69" s="209" t="s">
        <v>252</v>
      </c>
      <c r="C69" s="210">
        <v>2108</v>
      </c>
    </row>
    <row r="70" spans="2:3" ht="14.25">
      <c r="B70" s="209" t="s">
        <v>253</v>
      </c>
      <c r="C70" s="210">
        <v>1898</v>
      </c>
    </row>
    <row r="71" spans="2:3" ht="14.25">
      <c r="B71" s="209" t="s">
        <v>254</v>
      </c>
      <c r="C71" s="210">
        <v>1654</v>
      </c>
    </row>
    <row r="72" spans="2:3" ht="14.25">
      <c r="B72" s="209"/>
      <c r="C72" s="210"/>
    </row>
    <row r="73" spans="2:3" ht="14.25">
      <c r="B73" s="209"/>
      <c r="C73" s="213"/>
    </row>
    <row r="74" spans="2:3" ht="14.25">
      <c r="B74" s="209"/>
      <c r="C74" s="213"/>
    </row>
    <row r="75" spans="2:3" ht="14.25">
      <c r="B75" s="209"/>
      <c r="C75" s="213"/>
    </row>
    <row r="94" ht="12.75">
      <c r="D94" s="214"/>
    </row>
    <row r="95" spans="2:9" ht="18">
      <c r="B95" s="70" t="s">
        <v>265</v>
      </c>
      <c r="C95" s="70"/>
      <c r="D95" s="70"/>
      <c r="E95" s="70"/>
      <c r="F95" s="70"/>
      <c r="G95" s="70"/>
      <c r="H95" s="70"/>
      <c r="I95" s="70"/>
    </row>
    <row r="97" spans="2:9" ht="15">
      <c r="B97" s="346"/>
      <c r="C97" s="506">
        <v>2011</v>
      </c>
      <c r="D97" s="506"/>
      <c r="E97" s="506"/>
      <c r="F97" s="506">
        <v>2012</v>
      </c>
      <c r="G97" s="506"/>
      <c r="H97" s="506"/>
      <c r="I97" s="508" t="s">
        <v>263</v>
      </c>
    </row>
    <row r="98" spans="2:9" ht="15.75" thickBot="1">
      <c r="B98" s="316" t="s">
        <v>386</v>
      </c>
      <c r="C98" s="316" t="s">
        <v>387</v>
      </c>
      <c r="D98" s="316" t="s">
        <v>388</v>
      </c>
      <c r="E98" s="316" t="s">
        <v>192</v>
      </c>
      <c r="F98" s="316" t="s">
        <v>387</v>
      </c>
      <c r="G98" s="316" t="s">
        <v>388</v>
      </c>
      <c r="H98" s="316" t="s">
        <v>192</v>
      </c>
      <c r="I98" s="321"/>
    </row>
    <row r="99" spans="2:9" ht="14.25">
      <c r="B99" s="126" t="s">
        <v>249</v>
      </c>
      <c r="C99" s="100">
        <v>9677</v>
      </c>
      <c r="D99" s="99">
        <v>1</v>
      </c>
      <c r="E99" s="515">
        <v>0.302</v>
      </c>
      <c r="F99" s="200">
        <v>8656</v>
      </c>
      <c r="G99" s="99">
        <v>1</v>
      </c>
      <c r="H99" s="515">
        <v>0.29469999999999996</v>
      </c>
      <c r="I99" s="215" t="s">
        <v>264</v>
      </c>
    </row>
    <row r="100" spans="2:9" ht="14.25">
      <c r="B100" s="130" t="s">
        <v>250</v>
      </c>
      <c r="C100" s="101">
        <v>5940</v>
      </c>
      <c r="D100" s="179">
        <v>2</v>
      </c>
      <c r="E100" s="516">
        <v>0.18539999999999998</v>
      </c>
      <c r="F100" s="204">
        <v>5113</v>
      </c>
      <c r="G100" s="179">
        <v>2</v>
      </c>
      <c r="H100" s="516">
        <v>0.1741</v>
      </c>
      <c r="I100" s="216" t="s">
        <v>264</v>
      </c>
    </row>
    <row r="101" spans="2:9" ht="14.25">
      <c r="B101" s="130" t="s">
        <v>251</v>
      </c>
      <c r="C101" s="101">
        <v>2456</v>
      </c>
      <c r="D101" s="179">
        <v>3</v>
      </c>
      <c r="E101" s="516">
        <v>0.0767</v>
      </c>
      <c r="F101" s="204">
        <v>2284</v>
      </c>
      <c r="G101" s="179">
        <v>3</v>
      </c>
      <c r="H101" s="516">
        <v>0.07780000000000001</v>
      </c>
      <c r="I101" s="216" t="s">
        <v>264</v>
      </c>
    </row>
    <row r="102" spans="2:9" ht="14.25">
      <c r="B102" s="130" t="s">
        <v>252</v>
      </c>
      <c r="C102" s="101">
        <v>2233</v>
      </c>
      <c r="D102" s="179">
        <v>4</v>
      </c>
      <c r="E102" s="516">
        <v>0.0697</v>
      </c>
      <c r="F102" s="204">
        <v>2108</v>
      </c>
      <c r="G102" s="179">
        <v>4</v>
      </c>
      <c r="H102" s="516">
        <v>0.0718</v>
      </c>
      <c r="I102" s="216" t="s">
        <v>264</v>
      </c>
    </row>
    <row r="103" spans="2:9" ht="14.25">
      <c r="B103" s="130" t="s">
        <v>253</v>
      </c>
      <c r="C103" s="101">
        <v>2040</v>
      </c>
      <c r="D103" s="179">
        <v>5</v>
      </c>
      <c r="E103" s="516">
        <v>0.0637</v>
      </c>
      <c r="F103" s="204">
        <v>1898</v>
      </c>
      <c r="G103" s="179">
        <v>5</v>
      </c>
      <c r="H103" s="516">
        <v>0.0646</v>
      </c>
      <c r="I103" s="216" t="s">
        <v>264</v>
      </c>
    </row>
    <row r="104" spans="2:9" ht="14.25">
      <c r="B104" s="130" t="s">
        <v>254</v>
      </c>
      <c r="C104" s="101">
        <v>1733</v>
      </c>
      <c r="D104" s="179">
        <v>6</v>
      </c>
      <c r="E104" s="516">
        <v>0.0541</v>
      </c>
      <c r="F104" s="204">
        <v>1654</v>
      </c>
      <c r="G104" s="179">
        <v>6</v>
      </c>
      <c r="H104" s="516">
        <v>0.056299999999999996</v>
      </c>
      <c r="I104" s="216" t="s">
        <v>264</v>
      </c>
    </row>
    <row r="105" spans="2:9" ht="15" thickBot="1">
      <c r="B105" s="128" t="s">
        <v>255</v>
      </c>
      <c r="C105" s="222">
        <v>1204</v>
      </c>
      <c r="D105" s="127">
        <v>7</v>
      </c>
      <c r="E105" s="517">
        <v>0.037599999999999995</v>
      </c>
      <c r="F105" s="223">
        <v>1151</v>
      </c>
      <c r="G105" s="127">
        <v>7</v>
      </c>
      <c r="H105" s="517">
        <v>0.0392</v>
      </c>
      <c r="I105" s="224" t="s">
        <v>264</v>
      </c>
    </row>
    <row r="106" ht="12.75">
      <c r="B106" s="217" t="s">
        <v>266</v>
      </c>
    </row>
    <row r="107" ht="13.5" customHeight="1"/>
    <row r="109" spans="2:9" ht="18">
      <c r="B109" s="70" t="s">
        <v>269</v>
      </c>
      <c r="C109" s="70"/>
      <c r="D109" s="70"/>
      <c r="E109" s="70"/>
      <c r="F109" s="70"/>
      <c r="G109" s="70"/>
      <c r="H109" s="70"/>
      <c r="I109" s="70"/>
    </row>
    <row r="111" spans="2:5" ht="15.75" thickBot="1">
      <c r="B111" s="317" t="s">
        <v>385</v>
      </c>
      <c r="C111" s="316" t="s">
        <v>322</v>
      </c>
      <c r="D111" s="316" t="s">
        <v>192</v>
      </c>
      <c r="E111" s="316" t="s">
        <v>258</v>
      </c>
    </row>
    <row r="112" spans="2:5" ht="14.25">
      <c r="B112" s="199" t="s">
        <v>245</v>
      </c>
      <c r="C112" s="200">
        <v>2309</v>
      </c>
      <c r="D112" s="201">
        <v>0.35915383418883184</v>
      </c>
      <c r="E112" s="202">
        <v>0.35915383418883184</v>
      </c>
    </row>
    <row r="113" spans="2:5" ht="14.25">
      <c r="B113" s="203" t="s">
        <v>252</v>
      </c>
      <c r="C113" s="204">
        <v>1691</v>
      </c>
      <c r="D113" s="205">
        <v>0.2630269093171566</v>
      </c>
      <c r="E113" s="206">
        <v>0.6221807435059885</v>
      </c>
    </row>
    <row r="114" spans="2:5" ht="14.25">
      <c r="B114" s="203" t="s">
        <v>251</v>
      </c>
      <c r="C114" s="204">
        <v>637</v>
      </c>
      <c r="D114" s="205">
        <v>0.09908228340332867</v>
      </c>
      <c r="E114" s="206">
        <v>0.7212630269093172</v>
      </c>
    </row>
    <row r="115" spans="2:5" ht="14.25">
      <c r="B115" s="203" t="s">
        <v>262</v>
      </c>
      <c r="C115" s="204">
        <v>590</v>
      </c>
      <c r="D115" s="205">
        <v>0.0917716596671333</v>
      </c>
      <c r="E115" s="206">
        <v>0.8130346865764505</v>
      </c>
    </row>
    <row r="116" spans="2:5" ht="14.25">
      <c r="B116" s="203" t="s">
        <v>256</v>
      </c>
      <c r="C116" s="204">
        <v>315</v>
      </c>
      <c r="D116" s="205">
        <v>0.04899673355109659</v>
      </c>
      <c r="E116" s="206">
        <v>0.8620314201275471</v>
      </c>
    </row>
    <row r="117" spans="2:5" ht="15" thickBot="1">
      <c r="B117" s="219" t="s">
        <v>260</v>
      </c>
      <c r="C117" s="513">
        <v>887</v>
      </c>
      <c r="D117" s="514">
        <v>0.13793820189765127</v>
      </c>
      <c r="E117" s="220">
        <v>1</v>
      </c>
    </row>
    <row r="118" spans="2:5" ht="15">
      <c r="B118" s="504" t="s">
        <v>118</v>
      </c>
      <c r="C118" s="477">
        <v>6429</v>
      </c>
      <c r="D118" s="505">
        <v>1</v>
      </c>
      <c r="E118" s="476"/>
    </row>
    <row r="121" spans="2:3" ht="15">
      <c r="B121" s="207" t="s">
        <v>257</v>
      </c>
      <c r="C121" s="208" t="s">
        <v>123</v>
      </c>
    </row>
    <row r="122" spans="2:3" ht="14.25">
      <c r="B122" s="209" t="s">
        <v>245</v>
      </c>
      <c r="C122" s="210">
        <v>2309</v>
      </c>
    </row>
    <row r="123" spans="2:3" ht="14.25">
      <c r="B123" s="209" t="s">
        <v>252</v>
      </c>
      <c r="C123" s="210">
        <v>1691</v>
      </c>
    </row>
    <row r="124" spans="2:3" ht="14.25">
      <c r="B124" s="209" t="s">
        <v>260</v>
      </c>
      <c r="C124" s="213">
        <v>887</v>
      </c>
    </row>
    <row r="125" spans="2:3" ht="14.25">
      <c r="B125" s="211" t="s">
        <v>251</v>
      </c>
      <c r="C125" s="212">
        <v>637</v>
      </c>
    </row>
    <row r="126" spans="2:3" ht="14.25">
      <c r="B126" s="209" t="s">
        <v>262</v>
      </c>
      <c r="C126" s="210">
        <v>590</v>
      </c>
    </row>
    <row r="127" spans="2:3" ht="14.25">
      <c r="B127" s="209" t="s">
        <v>256</v>
      </c>
      <c r="C127" s="210">
        <v>315</v>
      </c>
    </row>
    <row r="153" spans="2:9" ht="15.75">
      <c r="B153" s="616" t="s">
        <v>270</v>
      </c>
      <c r="C153" s="616"/>
      <c r="D153" s="616"/>
      <c r="E153" s="616"/>
      <c r="F153" s="616"/>
      <c r="G153" s="616"/>
      <c r="H153" s="616"/>
      <c r="I153" s="616"/>
    </row>
    <row r="155" spans="2:9" ht="15">
      <c r="B155" s="346"/>
      <c r="C155" s="506">
        <v>2011</v>
      </c>
      <c r="D155" s="506"/>
      <c r="E155" s="506"/>
      <c r="F155" s="506">
        <v>2012</v>
      </c>
      <c r="G155" s="506"/>
      <c r="H155" s="506"/>
      <c r="I155" s="508" t="s">
        <v>263</v>
      </c>
    </row>
    <row r="156" spans="2:9" ht="15.75" thickBot="1">
      <c r="B156" s="316" t="s">
        <v>386</v>
      </c>
      <c r="C156" s="316" t="s">
        <v>387</v>
      </c>
      <c r="D156" s="316" t="s">
        <v>388</v>
      </c>
      <c r="E156" s="316" t="s">
        <v>192</v>
      </c>
      <c r="F156" s="316" t="s">
        <v>387</v>
      </c>
      <c r="G156" s="316" t="s">
        <v>388</v>
      </c>
      <c r="H156" s="316" t="s">
        <v>192</v>
      </c>
      <c r="I156" s="509"/>
    </row>
    <row r="157" spans="2:9" ht="14.25">
      <c r="B157" s="147" t="s">
        <v>245</v>
      </c>
      <c r="C157" s="104">
        <v>3043</v>
      </c>
      <c r="D157" s="496">
        <v>1</v>
      </c>
      <c r="E157" s="510">
        <v>0.39840000000000003</v>
      </c>
      <c r="F157" s="503">
        <v>2309</v>
      </c>
      <c r="G157" s="496">
        <v>1</v>
      </c>
      <c r="H157" s="510">
        <v>0.29469999999999996</v>
      </c>
      <c r="I157" s="507" t="s">
        <v>264</v>
      </c>
    </row>
    <row r="158" spans="2:9" ht="14.25">
      <c r="B158" s="130" t="s">
        <v>252</v>
      </c>
      <c r="C158" s="101">
        <v>1791</v>
      </c>
      <c r="D158" s="179">
        <v>2</v>
      </c>
      <c r="E158" s="511">
        <v>0.2345</v>
      </c>
      <c r="F158" s="204">
        <v>1691</v>
      </c>
      <c r="G158" s="179">
        <v>2</v>
      </c>
      <c r="H158" s="511">
        <v>0.1741</v>
      </c>
      <c r="I158" s="218" t="s">
        <v>264</v>
      </c>
    </row>
    <row r="159" spans="2:9" ht="14.25">
      <c r="B159" s="130" t="s">
        <v>251</v>
      </c>
      <c r="C159" s="101">
        <v>777</v>
      </c>
      <c r="D159" s="179">
        <v>3</v>
      </c>
      <c r="E159" s="511">
        <v>0.1017</v>
      </c>
      <c r="F159" s="204">
        <v>637</v>
      </c>
      <c r="G159" s="179">
        <v>3</v>
      </c>
      <c r="H159" s="511">
        <v>0.07780000000000001</v>
      </c>
      <c r="I159" s="218" t="s">
        <v>264</v>
      </c>
    </row>
    <row r="160" spans="2:9" ht="14.25">
      <c r="B160" s="130" t="s">
        <v>262</v>
      </c>
      <c r="C160" s="101">
        <v>629</v>
      </c>
      <c r="D160" s="179">
        <v>4</v>
      </c>
      <c r="E160" s="511">
        <v>0.0824</v>
      </c>
      <c r="F160" s="204">
        <v>590</v>
      </c>
      <c r="G160" s="179">
        <v>4</v>
      </c>
      <c r="H160" s="511">
        <v>0.0718</v>
      </c>
      <c r="I160" s="218" t="s">
        <v>264</v>
      </c>
    </row>
    <row r="161" spans="2:9" ht="15" thickBot="1">
      <c r="B161" s="128" t="s">
        <v>256</v>
      </c>
      <c r="C161" s="222">
        <v>329</v>
      </c>
      <c r="D161" s="127">
        <v>5</v>
      </c>
      <c r="E161" s="512">
        <v>0.0431</v>
      </c>
      <c r="F161" s="223">
        <v>315</v>
      </c>
      <c r="G161" s="127">
        <v>5</v>
      </c>
      <c r="H161" s="512">
        <v>0.0646</v>
      </c>
      <c r="I161" s="225" t="s">
        <v>264</v>
      </c>
    </row>
    <row r="162" ht="12.75">
      <c r="B162" s="217" t="s">
        <v>389</v>
      </c>
    </row>
  </sheetData>
  <mergeCells count="1">
    <mergeCell ref="B153:I153"/>
  </mergeCells>
  <printOptions/>
  <pageMargins left="0.75" right="0.75" top="1" bottom="1" header="0" footer="0"/>
  <pageSetup fitToHeight="1" fitToWidth="1" horizontalDpi="300" verticalDpi="3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Dades estadístiques de la Secretaria de Relacions amb l'Administració de Justícia</dc:title>
  <dc:subject/>
  <dc:creator>Departament de Justícia</dc:creator>
  <cp:keywords>dades, estadístiques, estadística, Secretaria, Administració de Justícia, SRAJ</cp:keywords>
  <dc:description/>
  <cp:lastModifiedBy>Departament de Justícia</cp:lastModifiedBy>
  <cp:lastPrinted>2013-11-29T09:58:49Z</cp:lastPrinted>
  <dcterms:created xsi:type="dcterms:W3CDTF">2013-05-22T11:18:36Z</dcterms:created>
  <dcterms:modified xsi:type="dcterms:W3CDTF">2013-11-29T12:25:01Z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