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549" activeTab="0"/>
  </bookViews>
  <sheets>
    <sheet name="índex 5.1" sheetId="1" r:id="rId1"/>
    <sheet name="5.1.1" sheetId="2" r:id="rId2"/>
    <sheet name="5.1.2" sheetId="3" r:id="rId3"/>
    <sheet name="5.1.3" sheetId="4" r:id="rId4"/>
    <sheet name="5.1.4" sheetId="5" r:id="rId5"/>
    <sheet name="5.1.5" sheetId="6" r:id="rId6"/>
    <sheet name="5.1.6" sheetId="7" r:id="rId7"/>
    <sheet name="5.1.7" sheetId="8" r:id="rId8"/>
    <sheet name="5.1.8" sheetId="9" r:id="rId9"/>
    <sheet name="Full1" sheetId="10" r:id="rId10"/>
  </sheets>
  <definedNames>
    <definedName name="_xlnm.Print_Area" localSheetId="1">'5.1.1'!$A$1:$AB$55</definedName>
    <definedName name="_xlnm.Print_Area" localSheetId="2">'5.1.2'!$B$1:$AC$45</definedName>
    <definedName name="_xlnm.Print_Area" localSheetId="3">'5.1.3'!$A$1:$AC$45</definedName>
    <definedName name="_xlnm.Print_Area" localSheetId="4">'5.1.4'!$A$1:$AB$46</definedName>
    <definedName name="_xlnm.Print_Area" localSheetId="5">'5.1.5'!$A$1:$AB$46</definedName>
    <definedName name="_xlnm.Print_Area" localSheetId="6">'5.1.6'!$A$1:$D$814</definedName>
    <definedName name="_xlnm.Print_Area" localSheetId="7">'5.1.7'!$A$1:$I$28</definedName>
    <definedName name="_xlnm.Print_Area" localSheetId="8">'5.1.8'!$A$1:$F$102</definedName>
    <definedName name="_xlnm.Print_Area" localSheetId="0">'índex 5.1'!$A$1:$B$11</definedName>
    <definedName name="_xlnm.Print_Titles" localSheetId="6">'5.1.6'!$1:$3</definedName>
  </definedNames>
  <calcPr fullCalcOnLoad="1"/>
</workbook>
</file>

<file path=xl/sharedStrings.xml><?xml version="1.0" encoding="utf-8"?>
<sst xmlns="http://schemas.openxmlformats.org/spreadsheetml/2006/main" count="2779" uniqueCount="1950">
  <si>
    <t>C-1412b, Artesa de Segre (Folquer)</t>
  </si>
  <si>
    <t>C-12, Alfés (sèquia de Dalt)</t>
  </si>
  <si>
    <t xml:space="preserve"> Alfés</t>
  </si>
  <si>
    <t>L-702</t>
  </si>
  <si>
    <t>Rotonda (ronda sud)</t>
  </si>
  <si>
    <t>L-800</t>
  </si>
  <si>
    <t>Vallmanya</t>
  </si>
  <si>
    <t>L-902</t>
  </si>
  <si>
    <t>L-910</t>
  </si>
  <si>
    <t>C-12, Os de Balaguer</t>
  </si>
  <si>
    <t>Os de Balaguer</t>
  </si>
  <si>
    <t>L-11, Bell-lloc d'Urgell</t>
  </si>
  <si>
    <t>A-2, Bellpuig</t>
  </si>
  <si>
    <t>N-IIa</t>
  </si>
  <si>
    <t>N-II, Cervera (Vergós)</t>
  </si>
  <si>
    <t>N-IIaa</t>
  </si>
  <si>
    <t>N-IIa, Castellnou de Seana</t>
  </si>
  <si>
    <t>LV-3443, Castellnou de Seana</t>
  </si>
  <si>
    <t>C-240a</t>
  </si>
  <si>
    <t>C-14, Alcover</t>
  </si>
  <si>
    <t>TV-7222, Alcover</t>
  </si>
  <si>
    <t>C-240a, Alcover (parc de bombers)</t>
  </si>
  <si>
    <t>C-240z</t>
  </si>
  <si>
    <t>C-14, la Riba</t>
  </si>
  <si>
    <t>C-241d</t>
  </si>
  <si>
    <t>C-14, Montblanc (la Guàrdia dels Prats)</t>
  </si>
  <si>
    <t>T-221, Santa Coloma de Queralt</t>
  </si>
  <si>
    <t>C-241e</t>
  </si>
  <si>
    <t>C-241z</t>
  </si>
  <si>
    <t>C-246</t>
  </si>
  <si>
    <t>N-240, Valls (glorieta de circumval·lació)</t>
  </si>
  <si>
    <t>N-340, el Vendrell (la Franquesa)</t>
  </si>
  <si>
    <t>C-37, Valls (Bon Sol) (N-240)</t>
  </si>
  <si>
    <t>C-422</t>
  </si>
  <si>
    <t>C-14, la Selva del Camp</t>
  </si>
  <si>
    <t>C-44</t>
  </si>
  <si>
    <t>C-51</t>
  </si>
  <si>
    <t>C-37, Valls</t>
  </si>
  <si>
    <t>T-202</t>
  </si>
  <si>
    <t>TV-3408</t>
  </si>
  <si>
    <t>T-204, Salomó (creu de terme de Salomó)</t>
  </si>
  <si>
    <t>T-204</t>
  </si>
  <si>
    <t>C-51, Montferri (Vilardida)</t>
  </si>
  <si>
    <t>T-202, Salomó (creu de terme de Salomó)</t>
  </si>
  <si>
    <t>T-214</t>
  </si>
  <si>
    <t>Rotonda accés variant N-340</t>
  </si>
  <si>
    <t>T-202, la Riera de Gaià</t>
  </si>
  <si>
    <t>T-221</t>
  </si>
  <si>
    <t>T-224</t>
  </si>
  <si>
    <t>T-241, Vallfogona de Riucorb</t>
  </si>
  <si>
    <t>T-230</t>
  </si>
  <si>
    <t>C-241d, Rocafort de Queralt</t>
  </si>
  <si>
    <t>T-243, Conesa</t>
  </si>
  <si>
    <t>T-232</t>
  </si>
  <si>
    <t>T-700, l'Espluga de Francolí</t>
  </si>
  <si>
    <t>T-233</t>
  </si>
  <si>
    <t>C-14, Solivella (Comierma)</t>
  </si>
  <si>
    <t>C-241d, Sarral</t>
  </si>
  <si>
    <t>T-240</t>
  </si>
  <si>
    <t>C-51, la Bisbal del Penedès</t>
  </si>
  <si>
    <t>T-241</t>
  </si>
  <si>
    <t>T-224, Vallfogona de Riucorb (carrer de la Font)</t>
  </si>
  <si>
    <t>T-243</t>
  </si>
  <si>
    <t>T-224, Llorac</t>
  </si>
  <si>
    <t>T-230, Conesa</t>
  </si>
  <si>
    <t>T-300</t>
  </si>
  <si>
    <t>TV-3001, Marçà (rotonda)</t>
  </si>
  <si>
    <t>T-363, Marçà</t>
  </si>
  <si>
    <t>T-300z</t>
  </si>
  <si>
    <t>T-300, Marçà (TV-3001)</t>
  </si>
  <si>
    <t>Marçà</t>
  </si>
  <si>
    <t>C-44, l'Hospitalet de l'Infant</t>
  </si>
  <si>
    <t>T-310</t>
  </si>
  <si>
    <t>T-11, Reus (variant sud)</t>
  </si>
  <si>
    <t>T-318, Pratdip</t>
  </si>
  <si>
    <t>T-310, Montbrió del Camp</t>
  </si>
  <si>
    <t>T-312</t>
  </si>
  <si>
    <t>T-318</t>
  </si>
  <si>
    <t>T-310, Pratdip</t>
  </si>
  <si>
    <t>T-322</t>
  </si>
  <si>
    <t>T-310z, Mont-roig del Camp (T-323)</t>
  </si>
  <si>
    <t>TV-3223, la Torre de Fontaubella (TV-3001)</t>
  </si>
  <si>
    <t>T-323</t>
  </si>
  <si>
    <t>N-340, Mont-roig del Camp</t>
  </si>
  <si>
    <t>T-310z, Mont-roig del Camp (T-322)</t>
  </si>
  <si>
    <t>T-363</t>
  </si>
  <si>
    <t>N-420, Marçà</t>
  </si>
  <si>
    <t>T-300z, Marçà</t>
  </si>
  <si>
    <t>T-700</t>
  </si>
  <si>
    <t>T-232, l'Espluga de Francolí</t>
  </si>
  <si>
    <t>TV-7002, Monestir de Poblet</t>
  </si>
  <si>
    <t>TV-7005, Prades</t>
  </si>
  <si>
    <t>T-704, Prades (T-701)</t>
  </si>
  <si>
    <t>T-701</t>
  </si>
  <si>
    <t>C-242, Cornudella de Montsant (coll d'Albarca)</t>
  </si>
  <si>
    <t>T-704, Prades (T-700)</t>
  </si>
  <si>
    <t>T-702</t>
  </si>
  <si>
    <t>T-713, la Bisbal de Falset</t>
  </si>
  <si>
    <t>TV-7041, Prades (coll de Capafons)</t>
  </si>
  <si>
    <t>T-700, Prades (T-701)</t>
  </si>
  <si>
    <t>T-710</t>
  </si>
  <si>
    <t>T-702, la Vilella Baixa</t>
  </si>
  <si>
    <t>T-713</t>
  </si>
  <si>
    <t>C-242, Margalef (coll del Grau)</t>
  </si>
  <si>
    <t>T-702, la Bisbal de Falset</t>
  </si>
  <si>
    <t>T-714</t>
  </si>
  <si>
    <t>T-702, Cabacés (el pont vell)</t>
  </si>
  <si>
    <t>T-721</t>
  </si>
  <si>
    <t>N-420, Tarragona</t>
  </si>
  <si>
    <t>TV-7211, Constantí est</t>
  </si>
  <si>
    <t>C-422, Constantí (cementiri)</t>
  </si>
  <si>
    <t>T-724</t>
  </si>
  <si>
    <t>C-14, Alcover (C-37)</t>
  </si>
  <si>
    <t>T-742</t>
  </si>
  <si>
    <t>T-743, Picamoixons</t>
  </si>
  <si>
    <t>T-743</t>
  </si>
  <si>
    <t>T-742, Picamoixons</t>
  </si>
  <si>
    <t>TP-2002</t>
  </si>
  <si>
    <t>C-51, rotonda TP-2031</t>
  </si>
  <si>
    <t>C-37, el Pont d'Armentera</t>
  </si>
  <si>
    <t>Font: Direcció General d'Infraestructures de Mobilitat Terrestre, Ministeri de Foment, diputacions</t>
  </si>
  <si>
    <t>Font: Direcció General d'Infraestructures de Mobilitat Terrestre i Ministeri de Foment.</t>
  </si>
  <si>
    <t>TP-2115</t>
  </si>
  <si>
    <t>N-340, l'Arboç</t>
  </si>
  <si>
    <t>TP-2124</t>
  </si>
  <si>
    <t>TP-2125, Llorenç del Penedès</t>
  </si>
  <si>
    <t>TP-2125</t>
  </si>
  <si>
    <t>Límit terme municipal el Vendrell - Santa Oliva</t>
  </si>
  <si>
    <t>TV-2122, Sant Jaume dels Domenys</t>
  </si>
  <si>
    <t>TV-2004, el Pla de Santa Maria</t>
  </si>
  <si>
    <t>TP-2335</t>
  </si>
  <si>
    <t>C-14, Solivella</t>
  </si>
  <si>
    <t>TV-2004</t>
  </si>
  <si>
    <t>TP-2002, Vila-rodona</t>
  </si>
  <si>
    <t>TP-2311, el Pla de Santa Maria</t>
  </si>
  <si>
    <t>TV-3001</t>
  </si>
  <si>
    <t>T-300, Marçà</t>
  </si>
  <si>
    <t>T-322, la Torre de Fontaubella (TV-3223)</t>
  </si>
  <si>
    <t>N-420, els Guiamets</t>
  </si>
  <si>
    <t>N-420, les Borges del Camp</t>
  </si>
  <si>
    <t>Riudoms (plaça d'Arnau Palomar)</t>
  </si>
  <si>
    <t>TV-3141</t>
  </si>
  <si>
    <t>TV-3142</t>
  </si>
  <si>
    <t>T-314, Riudoms</t>
  </si>
  <si>
    <t>TV-3141, Riudoms</t>
  </si>
  <si>
    <t>TV-3143</t>
  </si>
  <si>
    <t>TV-7004</t>
  </si>
  <si>
    <t>C-242, Ulldemolins</t>
  </si>
  <si>
    <t>TV-7005</t>
  </si>
  <si>
    <t>T-700, Prades</t>
  </si>
  <si>
    <t>TV-7004, Vilanova de Prades</t>
  </si>
  <si>
    <t>TV-7041</t>
  </si>
  <si>
    <t>C-240 antiga, Alcover</t>
  </si>
  <si>
    <t>T-704, Prades</t>
  </si>
  <si>
    <t>TV-7211</t>
  </si>
  <si>
    <t>T-721, Constantí</t>
  </si>
  <si>
    <t>C-103</t>
  </si>
  <si>
    <t>C-12</t>
  </si>
  <si>
    <t>N-340a, Amposta</t>
  </si>
  <si>
    <t>C-12B</t>
  </si>
  <si>
    <t>N-420, la Fatarella (les Camposines)</t>
  </si>
  <si>
    <t>C-12 Ascó</t>
  </si>
  <si>
    <t>C-221</t>
  </si>
  <si>
    <t>C-12, Flix  (los Ribers)</t>
  </si>
  <si>
    <t>N-240, les Borges Blanques</t>
  </si>
  <si>
    <t>C-43</t>
  </si>
  <si>
    <t>C-12, Benifallet</t>
  </si>
  <si>
    <t>N-420, Gandesa (plaça de la Farola)</t>
  </si>
  <si>
    <t>C-12, Móra la Nova (mas del Molló)</t>
  </si>
  <si>
    <t>N-230b</t>
  </si>
  <si>
    <t>C-12, Xerta</t>
  </si>
  <si>
    <t>T-302</t>
  </si>
  <si>
    <t>C-12, Rasquera</t>
  </si>
  <si>
    <t>T-303</t>
  </si>
  <si>
    <t>C-12, Móra la Nova</t>
  </si>
  <si>
    <t>N-420a, Móra la Nova</t>
  </si>
  <si>
    <t>T-330</t>
  </si>
  <si>
    <t>T-331</t>
  </si>
  <si>
    <t>T-332, Ulldecona (TP-3318)</t>
  </si>
  <si>
    <t>C-12, Tortosa (Vinallop)</t>
  </si>
  <si>
    <t>T-332</t>
  </si>
  <si>
    <t>Límit Castelló de la Plana - Tarragona (CS-332) (riu de la Sénia)</t>
  </si>
  <si>
    <t>TV-3319, rotonda</t>
  </si>
  <si>
    <t>T-333</t>
  </si>
  <si>
    <t>T-334</t>
  </si>
  <si>
    <t>T-330, Horta de Sant Joan (la Farinera)</t>
  </si>
  <si>
    <t>TV-3301, Bot</t>
  </si>
  <si>
    <t>T-340</t>
  </si>
  <si>
    <t>N-340, Camarles (polígon Venta Nova)</t>
  </si>
  <si>
    <t>T-344</t>
  </si>
  <si>
    <t>C-12, Amposta (rotonda)</t>
  </si>
  <si>
    <t>T-350, Masdenverge</t>
  </si>
  <si>
    <t>T-350</t>
  </si>
  <si>
    <t>T-331, Santa Bàrbara</t>
  </si>
  <si>
    <t>T-344, Masdenverge</t>
  </si>
  <si>
    <t>T-362</t>
  </si>
  <si>
    <t>N-420, Bot</t>
  </si>
  <si>
    <t>TV-3531, Bot (barranc de Riello)</t>
  </si>
  <si>
    <t>C-12, Vinebre</t>
  </si>
  <si>
    <t>T-720</t>
  </si>
  <si>
    <t>C-12, Móra la Nova (els Domenges)</t>
  </si>
  <si>
    <t>T-733a</t>
  </si>
  <si>
    <t>T-733,Ascó</t>
  </si>
  <si>
    <t>T-733,la Fatarella</t>
  </si>
  <si>
    <t>T-741</t>
  </si>
  <si>
    <t>C-12, Flix</t>
  </si>
  <si>
    <t>TV-7411, Riba-roja d'Ebre</t>
  </si>
  <si>
    <t>T-741a</t>
  </si>
  <si>
    <t>T-741, Riba-roja d'Ebre</t>
  </si>
  <si>
    <t>T-741z</t>
  </si>
  <si>
    <t>TP-3311</t>
  </si>
  <si>
    <t>TP-3318</t>
  </si>
  <si>
    <t>T-332, Ulldecona</t>
  </si>
  <si>
    <t>Alcanar, (ronda Remei), TV-3321a</t>
  </si>
  <si>
    <t>Alcanar (rotonda circumval·lació)</t>
  </si>
  <si>
    <t>N-340, Alcanar</t>
  </si>
  <si>
    <t>TP-7013</t>
  </si>
  <si>
    <t>C-242, Alforja</t>
  </si>
  <si>
    <t>TV-3022</t>
  </si>
  <si>
    <t>Antiga T-302, Rasquera</t>
  </si>
  <si>
    <t>TV-3031</t>
  </si>
  <si>
    <t>TV-3301</t>
  </si>
  <si>
    <t>TV-3316</t>
  </si>
  <si>
    <t>TV-3319</t>
  </si>
  <si>
    <t>TV-3321</t>
  </si>
  <si>
    <t>Estrep dret pont sobre el riu de la Sénia</t>
  </si>
  <si>
    <t>TV-3322</t>
  </si>
  <si>
    <t>TP-3311, Ulldecona</t>
  </si>
  <si>
    <t>TV-3319, Ulldecona (el Castell)</t>
  </si>
  <si>
    <t>TV-3403</t>
  </si>
  <si>
    <t>TV-3405, Amposta</t>
  </si>
  <si>
    <t>TV-3405</t>
  </si>
  <si>
    <t>Amposta (plaça dels Països Catalans)</t>
  </si>
  <si>
    <t>Intersecció N-340, Amposta</t>
  </si>
  <si>
    <t>TV-3406</t>
  </si>
  <si>
    <t>TV-3408, Sant Carles de la Ràpita</t>
  </si>
  <si>
    <t>TV-3406, Sant Carles de la Ràpita</t>
  </si>
  <si>
    <t>TV-3454</t>
  </si>
  <si>
    <t>Antiga N-340, Amposta</t>
  </si>
  <si>
    <t>T-340, Deltebre</t>
  </si>
  <si>
    <t>TV-3531</t>
  </si>
  <si>
    <t>TV-7231</t>
  </si>
  <si>
    <t>A-2</t>
  </si>
  <si>
    <t>B-30</t>
  </si>
  <si>
    <t>N-340</t>
  </si>
  <si>
    <t>N-240</t>
  </si>
  <si>
    <t>N-II</t>
  </si>
  <si>
    <t>Barcelona</t>
  </si>
  <si>
    <t>Girona</t>
  </si>
  <si>
    <t>Lleida</t>
  </si>
  <si>
    <t>Tarragona</t>
  </si>
  <si>
    <t>Solsona</t>
  </si>
  <si>
    <t>Quilòmetres</t>
  </si>
  <si>
    <t>Catalunya</t>
  </si>
  <si>
    <t>Situació el 31 de desembre</t>
  </si>
  <si>
    <t>Generalitat de Catalunya</t>
  </si>
  <si>
    <t xml:space="preserve">  -autopistes de peatge</t>
  </si>
  <si>
    <t xml:space="preserve">  -autopistes lliures i autovies</t>
  </si>
  <si>
    <t xml:space="preserve">  -carreteres de calçada única</t>
  </si>
  <si>
    <t xml:space="preserve">     menys de 5 metres d'ample</t>
  </si>
  <si>
    <t xml:space="preserve">     de 5 a 7 metres d'ample</t>
  </si>
  <si>
    <t xml:space="preserve">     més de 7 metres d'ample</t>
  </si>
  <si>
    <t>Estat</t>
  </si>
  <si>
    <t>N-156</t>
  </si>
  <si>
    <t>Accés aeroport de Girona</t>
  </si>
  <si>
    <t>LL-11</t>
  </si>
  <si>
    <t>Accés Est a Lleida</t>
  </si>
  <si>
    <t>N-240A</t>
  </si>
  <si>
    <t>Cadis i Gibraltar a Barcelona</t>
  </si>
  <si>
    <t>-</t>
  </si>
  <si>
    <t>Diputacions</t>
  </si>
  <si>
    <t>Total</t>
  </si>
  <si>
    <t xml:space="preserve"> </t>
  </si>
  <si>
    <t>Denominació</t>
  </si>
  <si>
    <t>Província</t>
  </si>
  <si>
    <t>Carretera</t>
  </si>
  <si>
    <t>Tram</t>
  </si>
  <si>
    <t>km</t>
  </si>
  <si>
    <t>Autopistes de peatge</t>
  </si>
  <si>
    <t xml:space="preserve">Girona </t>
  </si>
  <si>
    <t>Saragossa al Mediterrani</t>
  </si>
  <si>
    <t>Total autopistes de peatge</t>
  </si>
  <si>
    <t>Autopistes lliures i autovies</t>
  </si>
  <si>
    <t>Madrid a França per Barcelona</t>
  </si>
  <si>
    <t>Còrdova a Tarragona per Conca</t>
  </si>
  <si>
    <t>Total autopistes lliures i autovies</t>
  </si>
  <si>
    <t>Font: Ministeri de Foment</t>
  </si>
  <si>
    <t>Reus - Tarragona</t>
  </si>
  <si>
    <t>Total xarxa alta capacitat</t>
  </si>
  <si>
    <t xml:space="preserve">Barcelona </t>
  </si>
  <si>
    <t xml:space="preserve">Lleida  </t>
  </si>
  <si>
    <t xml:space="preserve">Tarragona </t>
  </si>
  <si>
    <t>Espanya</t>
  </si>
  <si>
    <t>Generalitat</t>
  </si>
  <si>
    <t>Autopistes lliures, autovies i carreteres de doble calçada</t>
  </si>
  <si>
    <t>Abrera - Terrassa</t>
  </si>
  <si>
    <t>Carreteres de calçada única</t>
  </si>
  <si>
    <t xml:space="preserve">     menys de 7 metres d'ample</t>
  </si>
  <si>
    <t>A-26</t>
  </si>
  <si>
    <t>Nord-est</t>
  </si>
  <si>
    <t xml:space="preserve">  -autopistes de peatge (1)</t>
  </si>
  <si>
    <t xml:space="preserve">  -autopistes lliures i autovies (2)</t>
  </si>
  <si>
    <t>(1) S'inclouen les autopistes i carreteres de peatge o depenents de les concessionàries</t>
  </si>
  <si>
    <t>C-16</t>
  </si>
  <si>
    <t>C-58, Terrassa</t>
  </si>
  <si>
    <t>C-16C, Sant Fruitós de Bages</t>
  </si>
  <si>
    <t>C-31</t>
  </si>
  <si>
    <t>C-31D</t>
  </si>
  <si>
    <t>C-32, Cabrera de Mar</t>
  </si>
  <si>
    <t>C-32</t>
  </si>
  <si>
    <t>C-33</t>
  </si>
  <si>
    <t>C-26, Berga</t>
  </si>
  <si>
    <t>C-58</t>
  </si>
  <si>
    <t>C-33, Barcelona (la Trinitat)</t>
  </si>
  <si>
    <t>C-16, Terrassa</t>
  </si>
  <si>
    <t>C-60</t>
  </si>
  <si>
    <t>C-32, Argentona (B-40)</t>
  </si>
  <si>
    <t>C-16C</t>
  </si>
  <si>
    <t>N-141c</t>
  </si>
  <si>
    <t>C-17</t>
  </si>
  <si>
    <t>C-25</t>
  </si>
  <si>
    <t>C-31, el Prat de Llobregat (la Ribera)</t>
  </si>
  <si>
    <t>C-32B</t>
  </si>
  <si>
    <t xml:space="preserve">C-31, el Prat de Llobregat (Sant Cosme)  </t>
  </si>
  <si>
    <t>C-55</t>
  </si>
  <si>
    <t>C-59</t>
  </si>
  <si>
    <t>C-35</t>
  </si>
  <si>
    <t>C-65</t>
  </si>
  <si>
    <t>C-66</t>
  </si>
  <si>
    <t>C-17, Gurb (el Vinyets)</t>
  </si>
  <si>
    <t>A-2, Cervera</t>
  </si>
  <si>
    <t>C-1413a</t>
  </si>
  <si>
    <t>N-340, Molins de Rei</t>
  </si>
  <si>
    <t>N-II, Mataró</t>
  </si>
  <si>
    <t>C-352</t>
  </si>
  <si>
    <t>N-152a, Granollers</t>
  </si>
  <si>
    <t>C-260</t>
  </si>
  <si>
    <t>Figueres (rotonda) - Vilatenim</t>
  </si>
  <si>
    <t>C-260z, Vila-sacra (rotonda)</t>
  </si>
  <si>
    <t>C-14</t>
  </si>
  <si>
    <t>C-14z</t>
  </si>
  <si>
    <t>C-31B</t>
  </si>
  <si>
    <t>C-14, Salou</t>
  </si>
  <si>
    <t>N-340, Tarragona (Torreforta)</t>
  </si>
  <si>
    <t>Final doble calçada</t>
  </si>
  <si>
    <t>C-31, Santa Cristina d'Aro (est) (C-250). Inici concessió</t>
  </si>
  <si>
    <t>AP-7, Maçanet de la Selva (inici concessió)</t>
  </si>
  <si>
    <t>N-141c, Sant Fruitós de Bages (els Plans)</t>
  </si>
  <si>
    <t>Castelldefels (enllaç la Pineda)</t>
  </si>
  <si>
    <t>N-II, el Far d'Empordà</t>
  </si>
  <si>
    <t>C-255, Girona (pla de Campdorà)</t>
  </si>
  <si>
    <t>C-150a, Serinyà</t>
  </si>
  <si>
    <t>C-31B, Salou</t>
  </si>
  <si>
    <t>T-315</t>
  </si>
  <si>
    <t>N-340, Reus (els Castellets)</t>
  </si>
  <si>
    <t>C-42</t>
  </si>
  <si>
    <t>C-12, Tortosa</t>
  </si>
  <si>
    <t>AP-2</t>
  </si>
  <si>
    <t>B-24</t>
  </si>
  <si>
    <t>B-10</t>
  </si>
  <si>
    <t>5.1</t>
  </si>
  <si>
    <t>5.1.1</t>
  </si>
  <si>
    <t>5.1.2</t>
  </si>
  <si>
    <t>5.1.3</t>
  </si>
  <si>
    <t>5.1.4</t>
  </si>
  <si>
    <t>5.1.5</t>
  </si>
  <si>
    <t>Xarxa de carreteres</t>
  </si>
  <si>
    <t>(2) S'inclouen les vies en concessió amb règim de peatge a l'ombra</t>
  </si>
  <si>
    <t>C-35, Llagostera (costa de l'Alou). Final concessió</t>
  </si>
  <si>
    <t>Argentona (pont sobre la riera d'Argentona marge esquerre)</t>
  </si>
  <si>
    <t>% Cat./Esp.</t>
  </si>
  <si>
    <t>Servei territorial de Barcelona</t>
  </si>
  <si>
    <t>Total Servei territorial de Barcelona</t>
  </si>
  <si>
    <t>Servei territorial de Girona</t>
  </si>
  <si>
    <t>Total Servei territorial de Girona</t>
  </si>
  <si>
    <t>Servei territorial de Tarragona</t>
  </si>
  <si>
    <t>Total Servei territorial de Tarragona</t>
  </si>
  <si>
    <t>B-201, Sant Boi de Llobregat (polígon industrial)</t>
  </si>
  <si>
    <t>Límit comarcal el Bages - el Solsonès</t>
  </si>
  <si>
    <t>Límit comarcal el Baix Penedès - el Garraf</t>
  </si>
  <si>
    <t>Servei territorial de Lleida</t>
  </si>
  <si>
    <t>Total Servei territorial de Lleida</t>
  </si>
  <si>
    <t>Total autopistes i carreteres de peatge</t>
  </si>
  <si>
    <t>Límit comarcal la Segarra - l'Anoia</t>
  </si>
  <si>
    <t>Castelló d'Empúries (Empuriabrava)</t>
  </si>
  <si>
    <t>BP-1101, el Bruc</t>
  </si>
  <si>
    <t>Sabadell (ronda de Zamenhof)</t>
  </si>
  <si>
    <t>C-59, Santa Perpètua de Mogoda</t>
  </si>
  <si>
    <t>C-59, Palau-solità i Plegamans</t>
  </si>
  <si>
    <t>C-245, Sant Boi de Llobregat (plaça d'Europa)</t>
  </si>
  <si>
    <t>C-31c el Prat de Llobregat</t>
  </si>
  <si>
    <t>Calaf (plaça dels Arbres)</t>
  </si>
  <si>
    <t>Accés C-25, Avinyó (carrer de Sant Jaume)</t>
  </si>
  <si>
    <t>BV-5105a, la Roca del Vallès (Santa Agnès de Malanyanes sud)</t>
  </si>
  <si>
    <t>BV-5105a, la Roca del Vallès (Santa Agnès de Malanyanes nord)</t>
  </si>
  <si>
    <t>C-26, Avià (torrent de la Font Calda)</t>
  </si>
  <si>
    <t>Límit comarcal Osona - el Ripollès</t>
  </si>
  <si>
    <t>Límit travessera de Vilanova i la Geltrú</t>
  </si>
  <si>
    <t>C-32, Gavà</t>
  </si>
  <si>
    <t>Límit comarcal l'Alt Camp - l'Anoia (solana de Valldeserves)</t>
  </si>
  <si>
    <t>Barcelona (carrer d'Extremadura)</t>
  </si>
  <si>
    <t>km tram</t>
  </si>
  <si>
    <t>Límit comarcal l'Anoia - la Segarra</t>
  </si>
  <si>
    <t>Límit comarcal l'Alt Penedès - el Baix Penedès</t>
  </si>
  <si>
    <t>C-31, l'Hospitalet de Llobregat</t>
  </si>
  <si>
    <t>Límit comarcal el Vallès Occidental - la Selva (la Batllòria)</t>
  </si>
  <si>
    <t>C-35, cruïlla pont de Ferro</t>
  </si>
  <si>
    <t>Límit comarcal la Ribera d'Ebre - el Segrià</t>
  </si>
  <si>
    <t>C-28, València d'Àneu</t>
  </si>
  <si>
    <t>Gandesa (carrer de Sant Miquel, 70)</t>
  </si>
  <si>
    <t>Bot (carrer d'Antoni Gaudí)</t>
  </si>
  <si>
    <t>Tarragona a Sant Sebastià i Bilbao</t>
  </si>
  <si>
    <t>Montcada i Reixac (avinguda de Catalunya)</t>
  </si>
  <si>
    <t>Balenyà (els Hostalets de Balenyà)</t>
  </si>
  <si>
    <t>Límit comarcal el Maresme - la Selva (riu Tordera) (GI-682)</t>
  </si>
  <si>
    <t>Límit comarcal el Berguedà - el Ripollès</t>
  </si>
  <si>
    <t>Límit comarcal el Pla de l'Estany - la Garrotxa</t>
  </si>
  <si>
    <t>Límit comarcal la Selva - Osona (BV-5201)</t>
  </si>
  <si>
    <t>GI-603, Espolla (torrent de Merdanç)</t>
  </si>
  <si>
    <t>GI-602, Espolla (torrent de Merdanç)</t>
  </si>
  <si>
    <t>Llançà (plaça de l'estació d'FC)</t>
  </si>
  <si>
    <t>Inici terme municipal de Saus, Camallera i Llampaies</t>
  </si>
  <si>
    <t>C-255, Sarrià de Ter, pont de l'Aigua</t>
  </si>
  <si>
    <t>Límit comarcal el Maresme - la Selva, (B-682) (riu Tordera)</t>
  </si>
  <si>
    <t>N-260, la Pobla de Segur (pont del Flamisell)</t>
  </si>
  <si>
    <t>Manresa (circumval·lació, inici antic desdoblament)</t>
  </si>
  <si>
    <t>Manresa (circumval·lació, final antic desdoblament)</t>
  </si>
  <si>
    <t>Manresa (circumval·lació) (final antic desdoblament)</t>
  </si>
  <si>
    <t>Viladecans (enllaç Filipines, inici canvi traçat)</t>
  </si>
  <si>
    <t>B-204, el Prat de Llobregat (enllaç)</t>
  </si>
  <si>
    <t>L'Hospitalet (Inici soterrament)</t>
  </si>
  <si>
    <t>C-26, Ripoll (estrep nord riera)</t>
  </si>
  <si>
    <t>C-25z, Vilobí d'Onyar</t>
  </si>
  <si>
    <t>A-2, Caldes de Malavella</t>
  </si>
  <si>
    <t>C-66, Palafrugell (mas Pla)</t>
  </si>
  <si>
    <t>C-13B, Lleida (els Magraners)</t>
  </si>
  <si>
    <t>C-13B</t>
  </si>
  <si>
    <t>C-13, Lleida (els Magraners)</t>
  </si>
  <si>
    <t>LL-11, Lleida (rotonda)</t>
  </si>
  <si>
    <t>Tortosa (Sta, Càndida, rotonda)</t>
  </si>
  <si>
    <t xml:space="preserve">C-28, Alt Àneu (Esterri d'Àneu) </t>
  </si>
  <si>
    <t>C-13, LLeida (polígon el "Segre")</t>
  </si>
  <si>
    <t>N-230,Osca (el Pont de Montanyana)</t>
  </si>
  <si>
    <t>C-13, Talarn (pla de Palau)</t>
  </si>
  <si>
    <t>Límit comarcal la Conca de Barberà - l'Urgell</t>
  </si>
  <si>
    <t>Límit comarcal les Garrigues - el Priorat (coll del Grau)</t>
  </si>
  <si>
    <t>Límit comarcal el Solsonès - el Berguedà</t>
  </si>
  <si>
    <t>Seròs</t>
  </si>
  <si>
    <t>Solsona (plaça de Sant Jordi)</t>
  </si>
  <si>
    <t>C-53</t>
  </si>
  <si>
    <t>Límit comarcal l'Urgell - la Conca de Barberà (els Solans)  (T-232)</t>
  </si>
  <si>
    <t>Límit comarcal l'Urgell - la Conca de Barberà  (T-241)</t>
  </si>
  <si>
    <t xml:space="preserve">camí, Olost </t>
  </si>
  <si>
    <t>BP-4653, Olost</t>
  </si>
  <si>
    <t>Límit comarcal la Segarra - la Conca de Barberà (T-243)</t>
  </si>
  <si>
    <t>C-233, Castelldans (plaça de Catalunya)</t>
  </si>
  <si>
    <t>Terme municipal Alcarràs - Lleida</t>
  </si>
  <si>
    <t>A-2, la Granyanella</t>
  </si>
  <si>
    <t>Límit comarcal la Conca de Barberà - l'Anoia (C-241c)</t>
  </si>
  <si>
    <t>C-241d, Santa Coloma de Queralt (plaça de Catalunya)</t>
  </si>
  <si>
    <t>Límit comarcal l'Alt Camp - l'Anoia (solana de Valldecerves)</t>
  </si>
  <si>
    <t>Límit comarcal el Baix Camp - la Ribera d'Ebre</t>
  </si>
  <si>
    <t xml:space="preserve">(1) S'inclouen les autopistes i carreteres de peatge </t>
  </si>
  <si>
    <t>T-203, la Riera de Gaià</t>
  </si>
  <si>
    <t>Límit comarcal l'Urgell - la Conca de Barberà (L-232)</t>
  </si>
  <si>
    <t>Límit comarcal la Conca de Barberà - l'Urgell (L-241)</t>
  </si>
  <si>
    <t>Límit comarcal la Segarra - la Conca de Barberà (L-243)</t>
  </si>
  <si>
    <t>C-242, Cornudella de Montsant (Hostal del Pubill)</t>
  </si>
  <si>
    <t>Límit comarcal el Priorat - la Ribera d'Ebre (coll de la Torre) (T-730)</t>
  </si>
  <si>
    <t>Límit comarcal la Ribera d'Ebre - el Priorat</t>
  </si>
  <si>
    <t>Límit comarcal la Ribera d'Ebre - les Garrigues</t>
  </si>
  <si>
    <t>Autopistes i carreteres de peatge o en concessió</t>
  </si>
  <si>
    <t>Codi</t>
  </si>
  <si>
    <t>Inici descripció</t>
  </si>
  <si>
    <t>Final descripció</t>
  </si>
  <si>
    <t>El Prat de Llobregat, aeroport</t>
  </si>
  <si>
    <t>Sallent sud</t>
  </si>
  <si>
    <t xml:space="preserve"> C-16a, Puig-reig (el Grapal)</t>
  </si>
  <si>
    <t>C-26, Berga sud</t>
  </si>
  <si>
    <t>Nus del Llobregat, Cornellà de Llobregat (camí del Mig)</t>
  </si>
  <si>
    <t>AP-7, la Roca del Valllès</t>
  </si>
  <si>
    <t>C-35, Llagostera (Costa de l'Alou). Final concessió</t>
  </si>
  <si>
    <t>C-37</t>
  </si>
  <si>
    <t>C-17, Gurb</t>
  </si>
  <si>
    <t>N-152a</t>
  </si>
  <si>
    <t>C-17, Vic</t>
  </si>
  <si>
    <t>B-100</t>
  </si>
  <si>
    <t>B-111</t>
  </si>
  <si>
    <t>B-120</t>
  </si>
  <si>
    <t>C-243c, Terrassa</t>
  </si>
  <si>
    <t>Enllaç C-58 (inici cessió)</t>
  </si>
  <si>
    <t>Pont sobre la riera de Gaià</t>
  </si>
  <si>
    <t>B-121</t>
  </si>
  <si>
    <t>B-120 (PK 9.850) Olesa de Montserrat</t>
  </si>
  <si>
    <t>B-124</t>
  </si>
  <si>
    <t>N-141c / B-431, Calders</t>
  </si>
  <si>
    <t>B-140</t>
  </si>
  <si>
    <t>N-150, Sabadell (inici travessera)</t>
  </si>
  <si>
    <t>B-140a</t>
  </si>
  <si>
    <t>B-141</t>
  </si>
  <si>
    <t>BV-1411, Ripollet (carrer de l'Estació)</t>
  </si>
  <si>
    <t>B-140, Santa Perpètua de Mogoda (Santiga)</t>
  </si>
  <si>
    <t>Pinós (la casanova, cruïlla camins a Pinós i a Vallmanya)</t>
  </si>
  <si>
    <t>C-65, Cassà de la Selva (accés a la carretera C-65)</t>
  </si>
  <si>
    <t>C-250a, Cassà de la Selva</t>
  </si>
  <si>
    <t>Sant Feliu de Guíxols (carrer del Garrofer)</t>
  </si>
  <si>
    <t>C-31, N-II, el Far d'Empordà</t>
  </si>
  <si>
    <t>GI-603, Garriguella</t>
  </si>
  <si>
    <t>GI-551, Santa Coloma de Farners (carrer de  Noguer)</t>
  </si>
  <si>
    <t>GI-671, Sarrià de Ter (pont de l'Aigua)</t>
  </si>
  <si>
    <t>Ripoll (carrer del Progrés)</t>
  </si>
  <si>
    <t>La Tallada d'Empordà (inici traçat en variant)</t>
  </si>
  <si>
    <t>Torroella de Fluvià (final traçat en variant)</t>
  </si>
  <si>
    <t>C-31a</t>
  </si>
  <si>
    <t>C-31, la Tallada d'Empordà</t>
  </si>
  <si>
    <t>GIV-6302, Ventalló (l'Arbre Sec)</t>
  </si>
  <si>
    <t>C-31, Torroella de Fluvià (riu Fluvià)</t>
  </si>
  <si>
    <t>C-31, enllaç Vilacolum Est</t>
  </si>
  <si>
    <t>C-25 / GI-533, Brunyola</t>
  </si>
  <si>
    <t>C-25 / C-152, Brunyola</t>
  </si>
  <si>
    <t>C-250, Sant Feliu de Guíxols (carrer del Canigó)</t>
  </si>
  <si>
    <t>C-65, Llagostera (rotonda accés oest)</t>
  </si>
  <si>
    <t>A-26, Besalú (camp de les Figues)</t>
  </si>
  <si>
    <t>Sant Julià de Ramis (inici desdoblament)</t>
  </si>
  <si>
    <t>Cornellà del Terri (final desdoblament)</t>
  </si>
  <si>
    <t>GI-660 PK 0,565, la Bisbal d'Empordà</t>
  </si>
  <si>
    <t>N-260a, Olot (plaça de Clarà)</t>
  </si>
  <si>
    <t>N-260, la Vall de Bianya</t>
  </si>
  <si>
    <t>B-142</t>
  </si>
  <si>
    <t>B-143</t>
  </si>
  <si>
    <t>B-201</t>
  </si>
  <si>
    <t>B-250, el Prat de Llobregat</t>
  </si>
  <si>
    <t>B-204</t>
  </si>
  <si>
    <t>C-31, Sant Boi de Llobregat</t>
  </si>
  <si>
    <t>B-210</t>
  </si>
  <si>
    <t>B-204, Viladecans (les Marines)</t>
  </si>
  <si>
    <t>C-234, Viladecans</t>
  </si>
  <si>
    <t>B-212</t>
  </si>
  <si>
    <t>TP-2442, Sant Jaume dels Domenys</t>
  </si>
  <si>
    <t>B-220</t>
  </si>
  <si>
    <t>C-241d, Santa Coloma de Queralt</t>
  </si>
  <si>
    <t>B-221</t>
  </si>
  <si>
    <t>B-222</t>
  </si>
  <si>
    <t>AP-7N</t>
  </si>
  <si>
    <t>Ronda Litoral de Barcelona</t>
  </si>
  <si>
    <t>Autopista del Mediterrani</t>
  </si>
  <si>
    <t>B-20</t>
  </si>
  <si>
    <t>Ronda Nord de Barcelona</t>
  </si>
  <si>
    <t>B-22</t>
  </si>
  <si>
    <t>Accés a l'aeroport de Barcelona</t>
  </si>
  <si>
    <t>B-23</t>
  </si>
  <si>
    <t>Accés Barcelona centre</t>
  </si>
  <si>
    <t>Accés a Barcelona des de Vallirana</t>
  </si>
  <si>
    <t>Calçades laterals AP-7</t>
  </si>
  <si>
    <t>N-2</t>
  </si>
  <si>
    <t>N-2A</t>
  </si>
  <si>
    <t>Cadis i Gibraltrar a Barcelona</t>
  </si>
  <si>
    <t>Figueres - Olot</t>
  </si>
  <si>
    <t>Lleida - Osca</t>
  </si>
  <si>
    <t>A-22</t>
  </si>
  <si>
    <t>LL-12</t>
  </si>
  <si>
    <t>Accés sud a Lleida</t>
  </si>
  <si>
    <t>A-7 N-340</t>
  </si>
  <si>
    <t>Mediterrani</t>
  </si>
  <si>
    <t>T-11</t>
  </si>
  <si>
    <t>B-224</t>
  </si>
  <si>
    <t>C-244, Capellades</t>
  </si>
  <si>
    <t>N-II, Martorell</t>
  </si>
  <si>
    <t>B-225</t>
  </si>
  <si>
    <t>C-1413a, el Papiol</t>
  </si>
  <si>
    <t>B-231</t>
  </si>
  <si>
    <t>B-245</t>
  </si>
  <si>
    <t>B-120, Viladecavalls</t>
  </si>
  <si>
    <t>C-58, Viladecavalls (can Mitjans)</t>
  </si>
  <si>
    <t>B-250</t>
  </si>
  <si>
    <t>B-250a</t>
  </si>
  <si>
    <t>El Prat de Llobregat (pont del riu Llobregat, Zona Franca carrer núm. 6)</t>
  </si>
  <si>
    <t>B-300</t>
  </si>
  <si>
    <t>B-40</t>
  </si>
  <si>
    <t>B-400</t>
  </si>
  <si>
    <t>C-16, Guardiola de Berguedà</t>
  </si>
  <si>
    <t>B-400, Saldes (Maçaners)</t>
  </si>
  <si>
    <t>B-400 (PK 10.700), a Maçaners</t>
  </si>
  <si>
    <t>B-400 (PK 15.700), a Saldes</t>
  </si>
  <si>
    <t>B-400, Saldes</t>
  </si>
  <si>
    <t>Gósol</t>
  </si>
  <si>
    <t>B-402</t>
  </si>
  <si>
    <t>B-420</t>
  </si>
  <si>
    <t>C-1410z, Cardona</t>
  </si>
  <si>
    <t>C-26, l'Espunyola</t>
  </si>
  <si>
    <t>B-422</t>
  </si>
  <si>
    <t>BV-3001, Cardona</t>
  </si>
  <si>
    <t>B-430</t>
  </si>
  <si>
    <t>C-16, Sallent</t>
  </si>
  <si>
    <t>B-431</t>
  </si>
  <si>
    <t>N-141c, Calders (el Puig) (B-124)</t>
  </si>
  <si>
    <t>BV-4512 Artés</t>
  </si>
  <si>
    <t>Final B-432</t>
  </si>
  <si>
    <t>B-451</t>
  </si>
  <si>
    <t>N-141c, Sant Fruitós de Bages</t>
  </si>
  <si>
    <t>BV-4512, Sant Fruitós de Bages  (pont sobre el Llobregat)</t>
  </si>
  <si>
    <t>B-500</t>
  </si>
  <si>
    <t>N-152a PK 17,348</t>
  </si>
  <si>
    <t>B-511</t>
  </si>
  <si>
    <t>N-II, Arenys de Mar</t>
  </si>
  <si>
    <t>C-61, Arenys de Mar (C-32)</t>
  </si>
  <si>
    <t>B-520</t>
  </si>
  <si>
    <t>B-521</t>
  </si>
  <si>
    <t>N-152a, Vic</t>
  </si>
  <si>
    <t>B-530</t>
  </si>
  <si>
    <t>BP-1101</t>
  </si>
  <si>
    <t>BP-1103</t>
  </si>
  <si>
    <t>BP-1121</t>
  </si>
  <si>
    <t>BP-1413</t>
  </si>
  <si>
    <t>BP-1417</t>
  </si>
  <si>
    <t>BP-1503</t>
  </si>
  <si>
    <t>BP-2121</t>
  </si>
  <si>
    <t>BP-2151</t>
  </si>
  <si>
    <t>BP-2427</t>
  </si>
  <si>
    <t>BP-4313</t>
  </si>
  <si>
    <t>BP-4653</t>
  </si>
  <si>
    <t>BP-4654</t>
  </si>
  <si>
    <t>BP-5002</t>
  </si>
  <si>
    <t>BV-1001</t>
  </si>
  <si>
    <t>B-100 Sant Guim de Freixenet</t>
  </si>
  <si>
    <t>BV-1211</t>
  </si>
  <si>
    <t>B-121 (PK 375), a l'estació d'Olesa de Montserrat</t>
  </si>
  <si>
    <t>BV-2041</t>
  </si>
  <si>
    <t>BV-2115</t>
  </si>
  <si>
    <t>BV-2241</t>
  </si>
  <si>
    <t>BV-2244</t>
  </si>
  <si>
    <t>BV-2411</t>
  </si>
  <si>
    <t>BV-2421</t>
  </si>
  <si>
    <t>BV-2429</t>
  </si>
  <si>
    <t>C-243a (PK 3.175)</t>
  </si>
  <si>
    <t>BV-4031</t>
  </si>
  <si>
    <t>GI-400 Tossa</t>
  </si>
  <si>
    <t>BV-4241</t>
  </si>
  <si>
    <t>BV-4405</t>
  </si>
  <si>
    <t>BV-4511</t>
  </si>
  <si>
    <t>C-55 Sant Joan de Vilatorrada</t>
  </si>
  <si>
    <t>BV-5105</t>
  </si>
  <si>
    <t>C-251, Cardedeu</t>
  </si>
  <si>
    <t>BV-5301</t>
  </si>
  <si>
    <t>C-35 Santa Maria de Palautordera</t>
  </si>
  <si>
    <t>BV-5303</t>
  </si>
  <si>
    <t>GI-520, Viladrau</t>
  </si>
  <si>
    <t>BV-5305</t>
  </si>
  <si>
    <t>C-1410z</t>
  </si>
  <si>
    <t>Súria, (final variant)</t>
  </si>
  <si>
    <t>C-55, Sant Mateu de Bages (la Colònia Valls)</t>
  </si>
  <si>
    <t>BV-3002, Sant Mateu de Bages - Navàs (la Colònia Valls)</t>
  </si>
  <si>
    <t>C-55, Pinós</t>
  </si>
  <si>
    <t>C-1411z</t>
  </si>
  <si>
    <t>C-55, Manresa (Sant Pau)</t>
  </si>
  <si>
    <t>C-16, Berga</t>
  </si>
  <si>
    <t>C-1412a</t>
  </si>
  <si>
    <t>N-141a, Calonge de Segarra</t>
  </si>
  <si>
    <t>C-1413z</t>
  </si>
  <si>
    <t>C-1413a, el Papiol sud</t>
  </si>
  <si>
    <t>C-1413a, el Papiol nord</t>
  </si>
  <si>
    <t>C-1414</t>
  </si>
  <si>
    <t>C-1415a</t>
  </si>
  <si>
    <t>C-1415b</t>
  </si>
  <si>
    <t>C-17, Canovelles</t>
  </si>
  <si>
    <t>C-1415c</t>
  </si>
  <si>
    <t>C-149b</t>
  </si>
  <si>
    <t>C-1411z, Berga</t>
  </si>
  <si>
    <t>C-15</t>
  </si>
  <si>
    <t>C-153</t>
  </si>
  <si>
    <t>C-25, Folgueroles (can Pairas)</t>
  </si>
  <si>
    <t>Límit comarcal Osona - la Selva</t>
  </si>
  <si>
    <t>C-154</t>
  </si>
  <si>
    <t>C-17, Gurb (C-25D)</t>
  </si>
  <si>
    <t>A-14</t>
  </si>
  <si>
    <t>5.1.6</t>
  </si>
  <si>
    <t>5.1.7</t>
  </si>
  <si>
    <t>5.1.8</t>
  </si>
  <si>
    <t>C-155</t>
  </si>
  <si>
    <t>C-15B</t>
  </si>
  <si>
    <t>C-16, Sant Fruitós de Bages</t>
  </si>
  <si>
    <t>C-16LD</t>
  </si>
  <si>
    <t>C-16LE</t>
  </si>
  <si>
    <t>N-260, Ripoll</t>
  </si>
  <si>
    <t>C-17LD</t>
  </si>
  <si>
    <t>C-17, Lliçà de Vall (carrer de Balzac)</t>
  </si>
  <si>
    <t>C-17, Lliçà de Vall (carrer del Segrià)</t>
  </si>
  <si>
    <t>C-17z</t>
  </si>
  <si>
    <t>C-234</t>
  </si>
  <si>
    <t>B-210, Gavà (centre d'emissors)</t>
  </si>
  <si>
    <t>C-241c</t>
  </si>
  <si>
    <t>C-243a</t>
  </si>
  <si>
    <t>C-243c</t>
  </si>
  <si>
    <t>C-244</t>
  </si>
  <si>
    <t>Sabanell</t>
  </si>
  <si>
    <t>C-245</t>
  </si>
  <si>
    <t>C-246a</t>
  </si>
  <si>
    <t>C-251</t>
  </si>
  <si>
    <t>C-25D</t>
  </si>
  <si>
    <t>C-26</t>
  </si>
  <si>
    <t>C-31LD</t>
  </si>
  <si>
    <t>C-31, Badalona (carrer d'Alfons XIII)</t>
  </si>
  <si>
    <t>C-31LE</t>
  </si>
  <si>
    <t>C-31, Badalona (rambla de Sant Joan)</t>
  </si>
  <si>
    <t>C-31, Badalona, B-500</t>
  </si>
  <si>
    <t>C-31, Montgat, BV-5008</t>
  </si>
  <si>
    <t>C-32LD</t>
  </si>
  <si>
    <t>C-32, Castelldefels</t>
  </si>
  <si>
    <t>C-32LE</t>
  </si>
  <si>
    <t>BP-5002, Granollers</t>
  </si>
  <si>
    <t>BV-5105, Cardedeu</t>
  </si>
  <si>
    <t>C-251, les Franqueses del Vallès</t>
  </si>
  <si>
    <t>Manresa (Muralla de Sant Francesc)</t>
  </si>
  <si>
    <t>B-120, Terrassa</t>
  </si>
  <si>
    <t>C-55, Castellbell i el Vilar</t>
  </si>
  <si>
    <t>C-58LD</t>
  </si>
  <si>
    <t>C-58LE</t>
  </si>
  <si>
    <t>C-25, Santa Maria d'Oló (C-670)</t>
  </si>
  <si>
    <t>C-59z</t>
  </si>
  <si>
    <t>Camí a Colltrencat, Castellterçol</t>
  </si>
  <si>
    <t>C-61</t>
  </si>
  <si>
    <t>B-511, Arenys de Mar (C-32)</t>
  </si>
  <si>
    <t>C-35, Sant Celoni</t>
  </si>
  <si>
    <t>C-670</t>
  </si>
  <si>
    <t>A-2, el Bruc</t>
  </si>
  <si>
    <t xml:space="preserve">Límit comarcal Osona - la Garrotxa </t>
  </si>
  <si>
    <t>C-63 / C-152, la Vall d'en Bas (rotonda)</t>
  </si>
  <si>
    <t>B-224, Piera (rotonda), final variant</t>
  </si>
  <si>
    <t>Montan de Tost (boca sud túnel)</t>
  </si>
  <si>
    <t>Montan de Tost (boca nord túnel)</t>
  </si>
  <si>
    <t>L-241 / L-234, Ciutadilla</t>
  </si>
  <si>
    <t>L-201, Ciutadilla</t>
  </si>
  <si>
    <t>N-240, Lleida (els Magraners)</t>
  </si>
  <si>
    <t>Límit municipal el Bruc - els Hostalets de Pierola</t>
  </si>
  <si>
    <t>A-2, els Hostalets de Pierola</t>
  </si>
  <si>
    <t>C-55, Manresa (el Guix)</t>
  </si>
  <si>
    <t>C-16c, Sant Fruitós de Bages (els Plans)</t>
  </si>
  <si>
    <t>C-17, Malla (BV-5306)</t>
  </si>
  <si>
    <t>N-150</t>
  </si>
  <si>
    <t>C-58a, Terrassa (C-243)</t>
  </si>
  <si>
    <t>N-150a</t>
  </si>
  <si>
    <t>N-150, Sabadell, Castellarnau</t>
  </si>
  <si>
    <t>C-17, Montcada i Reixac</t>
  </si>
  <si>
    <t>C-17, Mollet del Vallès</t>
  </si>
  <si>
    <t>C-17, Granollers (coll de la Manya)</t>
  </si>
  <si>
    <t>C-17, la Garriga (Ca l'Oliveró)</t>
  </si>
  <si>
    <t>C-17, la Garriga (Can Mas)</t>
  </si>
  <si>
    <t>El Figaró</t>
  </si>
  <si>
    <t>C-17, Centelles</t>
  </si>
  <si>
    <t>C-25, Gurb (rotonda eix Transversal)</t>
  </si>
  <si>
    <t>C-17, Sant Hipòlit de Voltregà</t>
  </si>
  <si>
    <t>B-682</t>
  </si>
  <si>
    <t>N-II, Malgrat de Mar (can Viader)</t>
  </si>
  <si>
    <t>C-150a</t>
  </si>
  <si>
    <t>C-66, Cornellà del Terri (Borgonyà)</t>
  </si>
  <si>
    <t>GI-513, Banyoles</t>
  </si>
  <si>
    <t>Banyoles (benzinera de Mata)</t>
  </si>
  <si>
    <t>GIP-5121,  Banyoles</t>
  </si>
  <si>
    <t>C-66, Serinyà</t>
  </si>
  <si>
    <t>C-150z</t>
  </si>
  <si>
    <t>C-66, Cornellà del Terri</t>
  </si>
  <si>
    <t>C-152</t>
  </si>
  <si>
    <t>C-31 / B-20, Montgat</t>
  </si>
  <si>
    <t>Barcelona (inici concessió)</t>
  </si>
  <si>
    <t>Montmeló, A-7</t>
  </si>
  <si>
    <t>Montcada i Reixac (soterrament)</t>
  </si>
  <si>
    <t>C-33, Parets</t>
  </si>
  <si>
    <t>Centelles (inici concessió)</t>
  </si>
  <si>
    <t>Aeroport (enllaç Filipines, inici canvi traçat )</t>
  </si>
  <si>
    <t>C-1412a, Copons nord (variant)</t>
  </si>
  <si>
    <t>BV-1005</t>
  </si>
  <si>
    <t>Límit municipal L'Hospitalet de Llobregat - Barcelona</t>
  </si>
  <si>
    <t>C-25 (incorporació)</t>
  </si>
  <si>
    <t>C-33 Mollet del Vallès</t>
  </si>
  <si>
    <t>Santa Perpètua de la Mogoda (inici tram doble calçada)</t>
  </si>
  <si>
    <t>B-143, Palau-solita i Plegamans</t>
  </si>
  <si>
    <t>C-65, Llagostera (Costa de l'Alou,  final concessió)</t>
  </si>
  <si>
    <t>C-31, Santa Cristina d'Aro (est) (C-250), Inici concessió</t>
  </si>
  <si>
    <t>LV-1004, les Oluges (els Aigols)</t>
  </si>
  <si>
    <t>C-14z, Reus (Enllaç Reus Nord)</t>
  </si>
  <si>
    <t>Terme municipal Barcelona - Sant Adrià Besòs</t>
  </si>
  <si>
    <t>Estructura Accés Montgat (inici concessió)</t>
  </si>
  <si>
    <t>C-1413a (antiga carretera) Molins de Rei</t>
  </si>
  <si>
    <t xml:space="preserve">C-251, inici tram doble calçada, intersecció </t>
  </si>
  <si>
    <t>C-253, Santa Coloma de Farners</t>
  </si>
  <si>
    <t>C-25, Brunyola</t>
  </si>
  <si>
    <t>C-152a</t>
  </si>
  <si>
    <t>C-63, Sant Feliu de Pallerols</t>
  </si>
  <si>
    <t>N-260a, Olot (la Rodona)</t>
  </si>
  <si>
    <t>N-260, Olot</t>
  </si>
  <si>
    <t>C-153a</t>
  </si>
  <si>
    <t>C-38, Sant Pau de Segúries</t>
  </si>
  <si>
    <t>C-65, Cassà de la Selva (GI-663)</t>
  </si>
  <si>
    <t>C-250</t>
  </si>
  <si>
    <t>C-65, Quart</t>
  </si>
  <si>
    <t>Cornellà (rotonda Av de Baix Llobregat)</t>
  </si>
  <si>
    <t>Granollers (final cessió Ajuntament, Camí del Cementiri)</t>
  </si>
  <si>
    <t>Castell-Platja d'Aro (rotonda dels vents)</t>
  </si>
  <si>
    <t>Castell-Platja d'Aro (rotonda Ridaura nord)</t>
  </si>
  <si>
    <t>C-65, Sant Cristina d'Aro (oest)</t>
  </si>
  <si>
    <t>C-35, Llagostera (costa de l'Alou)</t>
  </si>
  <si>
    <t>C-250z</t>
  </si>
  <si>
    <t>C-252</t>
  </si>
  <si>
    <t>C-66, Corçà</t>
  </si>
  <si>
    <t>C-31, Verges, GI-634</t>
  </si>
  <si>
    <t>N-260, Garriguella (GI-604)</t>
  </si>
  <si>
    <t>C-253</t>
  </si>
  <si>
    <t>C-253a</t>
  </si>
  <si>
    <t>C-35, Llagostera</t>
  </si>
  <si>
    <t>C-65z, Llagostera</t>
  </si>
  <si>
    <t>C-255</t>
  </si>
  <si>
    <t>C-66, Girona (el Congost)</t>
  </si>
  <si>
    <t>C-255z</t>
  </si>
  <si>
    <t>C-66, Sant Joan de Mollet</t>
  </si>
  <si>
    <t>C-66, Flaçà</t>
  </si>
  <si>
    <t>C-253, Calonge (Sant Antoni)</t>
  </si>
  <si>
    <t>C-17, Ripoll (planes del Solà)</t>
  </si>
  <si>
    <t>N-260, Navata</t>
  </si>
  <si>
    <t>N-II, Figueres (cal Ferrer)</t>
  </si>
  <si>
    <t>AP-7, Maçanet de la Selva</t>
  </si>
  <si>
    <t>C-38</t>
  </si>
  <si>
    <t>C-63</t>
  </si>
  <si>
    <t>GI-682, Lloret de Mar</t>
  </si>
  <si>
    <t>C-63, la Vall d'en Bas (Bas)</t>
  </si>
  <si>
    <t>N-IIa, Girona (enllaç autopista A-7)</t>
  </si>
  <si>
    <t>C-65z</t>
  </si>
  <si>
    <t>C-31, Palafrugell (mas Pla)</t>
  </si>
  <si>
    <t>Final carril lent marge dret, segueix el de l'esquerre</t>
  </si>
  <si>
    <t>C-66 PK 11,000 (rotonda), la bisbal d'Empordà</t>
  </si>
  <si>
    <t>C-1412b, Isona i Conca dellà</t>
  </si>
  <si>
    <t>L-700</t>
  </si>
  <si>
    <t>LP-9221</t>
  </si>
  <si>
    <t>LV-4241</t>
  </si>
  <si>
    <t>T-704</t>
  </si>
  <si>
    <t>TP-2311</t>
  </si>
  <si>
    <t>Final carril lent del marge dret, segueix el de l'esquerre</t>
  </si>
  <si>
    <t>C-66z</t>
  </si>
  <si>
    <t>GI-401</t>
  </si>
  <si>
    <t>N-152, Campdevànol (pont sobre el riu Freser)</t>
  </si>
  <si>
    <t>GI-402, Gombrèn (plaça del Roser)</t>
  </si>
  <si>
    <t>GI-402</t>
  </si>
  <si>
    <t>GI-401, Gombrèn (plaça del Roser)</t>
  </si>
  <si>
    <t>GI-502</t>
  </si>
  <si>
    <t>N-II, Biure</t>
  </si>
  <si>
    <t>GI-503</t>
  </si>
  <si>
    <t>GI-502, Darnius</t>
  </si>
  <si>
    <t>Límit França, (Costoja, riu Major)</t>
  </si>
  <si>
    <t>GI-512</t>
  </si>
  <si>
    <t>N-II, Tordera (Sant Pere) (GI-600)</t>
  </si>
  <si>
    <t>GI-513</t>
  </si>
  <si>
    <t>GI-514</t>
  </si>
  <si>
    <t>N-II, Sant Julià de Ramis (Medinyà)</t>
  </si>
  <si>
    <t>C-150z, Cornellà del Terri (rotonda)</t>
  </si>
  <si>
    <t>GI-514z</t>
  </si>
  <si>
    <t>GI-520</t>
  </si>
  <si>
    <t>GI-543, Viladrau</t>
  </si>
  <si>
    <t>Límit provincial Barcelona - Girona, Viladrau (BV-5303)</t>
  </si>
  <si>
    <t>GI-521</t>
  </si>
  <si>
    <t>GI-522</t>
  </si>
  <si>
    <t>GI-524</t>
  </si>
  <si>
    <t>GI-531</t>
  </si>
  <si>
    <t>Girona (rotonda de Domeny)</t>
  </si>
  <si>
    <t>C-63, les Planes d'Hostoles</t>
  </si>
  <si>
    <t>GI-533</t>
  </si>
  <si>
    <t>Rotonda connexió AP-7, Girona Sud</t>
  </si>
  <si>
    <t>C-25, Santa Coloma de Farners</t>
  </si>
  <si>
    <t>GI-535</t>
  </si>
  <si>
    <t>Salt (passeig del Marquès de Camps)</t>
  </si>
  <si>
    <t>GI-540</t>
  </si>
  <si>
    <t>GI-533, Bescanó  (GI-534)</t>
  </si>
  <si>
    <t>GI-541</t>
  </si>
  <si>
    <t>GI-550, Sant Hilari Sacalm</t>
  </si>
  <si>
    <t>GI-542</t>
  </si>
  <si>
    <t>C-63, Anglès</t>
  </si>
  <si>
    <t>GI-543</t>
  </si>
  <si>
    <t>GI-550, Arbúcies (carrer del Pont)</t>
  </si>
  <si>
    <t>GI-544, Espinelves</t>
  </si>
  <si>
    <t>GI-544</t>
  </si>
  <si>
    <t>GI-543, Espinelves</t>
  </si>
  <si>
    <t>GIV-5441, Espinelves</t>
  </si>
  <si>
    <t>GI-550</t>
  </si>
  <si>
    <t>GI-543, Arbúcies (carrer del Pont)</t>
  </si>
  <si>
    <t>GI-551</t>
  </si>
  <si>
    <t>GI-552</t>
  </si>
  <si>
    <t>C-35, Sant Celoni (la Batllòria)</t>
  </si>
  <si>
    <t>GI-550, Arbúcies</t>
  </si>
  <si>
    <t>GI-553</t>
  </si>
  <si>
    <t>GI-552, Sant Feliu de Buixalleu (Can Serrat)</t>
  </si>
  <si>
    <t>C-35, Hostalric</t>
  </si>
  <si>
    <t>GI-554</t>
  </si>
  <si>
    <t>N-II, Bàscara, (GI-622)</t>
  </si>
  <si>
    <t>GIP-5121, Esponellà</t>
  </si>
  <si>
    <t>GI-555</t>
  </si>
  <si>
    <t>N-II, Sils</t>
  </si>
  <si>
    <t>GI-600</t>
  </si>
  <si>
    <t>N-II, Tordera (GI-512)</t>
  </si>
  <si>
    <t>GI-682, Blanes</t>
  </si>
  <si>
    <t>GI-602</t>
  </si>
  <si>
    <t>N-II, Capmany (mas d'en Broc)</t>
  </si>
  <si>
    <t>GI-603</t>
  </si>
  <si>
    <t>GI-604</t>
  </si>
  <si>
    <t>N-260, Garriguella (C-252)</t>
  </si>
  <si>
    <t>GI-610, Vilajuïga (rotonda)</t>
  </si>
  <si>
    <t>GI-610</t>
  </si>
  <si>
    <t>C-260, Roses (carrer de Bernat Metge)</t>
  </si>
  <si>
    <t>GI-610z</t>
  </si>
  <si>
    <t>GI-610, Palau-saverdera (inici travessera)</t>
  </si>
  <si>
    <t>GI-610, Palau-saverdera (final travessera)</t>
  </si>
  <si>
    <t>GI-611</t>
  </si>
  <si>
    <t>N-260, Llançà (GI-612)</t>
  </si>
  <si>
    <t>GI-612</t>
  </si>
  <si>
    <t>El Port de la Selva (plaça del Doctor Oriol)</t>
  </si>
  <si>
    <t>N-260, Llançà (GI-611)</t>
  </si>
  <si>
    <t>GI-613</t>
  </si>
  <si>
    <t>GI-614, Cadaqués (coll de Perafita)</t>
  </si>
  <si>
    <t>GI-612, el Port de la Selva</t>
  </si>
  <si>
    <t>GI-614</t>
  </si>
  <si>
    <t>C-260, Roses</t>
  </si>
  <si>
    <t>GI-620</t>
  </si>
  <si>
    <t>GI-614, el Port de la Selva</t>
  </si>
  <si>
    <t>GI-622</t>
  </si>
  <si>
    <t>N-II, Bàscara (GI-554)</t>
  </si>
  <si>
    <t>GI-623</t>
  </si>
  <si>
    <t>GI-513, Bàscara (Orriols) (rotonda)</t>
  </si>
  <si>
    <t>GI-632, l'Escala</t>
  </si>
  <si>
    <t>GI-623a</t>
  </si>
  <si>
    <t>GI-623, Vilaür</t>
  </si>
  <si>
    <t>GI-624</t>
  </si>
  <si>
    <t>GI-623, Ventalló</t>
  </si>
  <si>
    <t>GI-630</t>
  </si>
  <si>
    <t>GI-631</t>
  </si>
  <si>
    <t>GI-633, Colomers (GI-634)</t>
  </si>
  <si>
    <t>GI-622, Sant Mori</t>
  </si>
  <si>
    <t>GI-632</t>
  </si>
  <si>
    <t>GI-633</t>
  </si>
  <si>
    <t>N-II, Sant Julià de Ramis</t>
  </si>
  <si>
    <t>GI-631, Colomers (GI-634)</t>
  </si>
  <si>
    <t>GI-633z</t>
  </si>
  <si>
    <t>GI-634</t>
  </si>
  <si>
    <t>C-31, Verges (C-252)</t>
  </si>
  <si>
    <t>GI-631, Colomers (GI-633)</t>
  </si>
  <si>
    <t>GI-641</t>
  </si>
  <si>
    <t>C-31, Torroella de Montgrí (rotonda)</t>
  </si>
  <si>
    <t>GI-642</t>
  </si>
  <si>
    <t>C-66, la Pera</t>
  </si>
  <si>
    <t>C-252, Parlavà (GI-643)</t>
  </si>
  <si>
    <t>GI-643</t>
  </si>
  <si>
    <t>C-31, Gualta</t>
  </si>
  <si>
    <t>C-252, Parlavà (GI-642)</t>
  </si>
  <si>
    <t>GI-644</t>
  </si>
  <si>
    <t>C-66, Forallac (Vulpellac)</t>
  </si>
  <si>
    <t>GI-643, Serra de Daró</t>
  </si>
  <si>
    <t>GI-650a</t>
  </si>
  <si>
    <t>C-31, Pals</t>
  </si>
  <si>
    <t>GI-651</t>
  </si>
  <si>
    <t>GI-644, Forallac (Canapost)</t>
  </si>
  <si>
    <t>C-31, Pals (Molí de Pals)</t>
  </si>
  <si>
    <t>GI-652</t>
  </si>
  <si>
    <t>C-66, Torrent</t>
  </si>
  <si>
    <t>C-31, GI-650a, Pals (rotonda)</t>
  </si>
  <si>
    <t>GI-652a</t>
  </si>
  <si>
    <t>GI-652, Pals</t>
  </si>
  <si>
    <t>GI-653</t>
  </si>
  <si>
    <t>C-31, Regencós (l'Arrabassada)</t>
  </si>
  <si>
    <t>GI-660</t>
  </si>
  <si>
    <t>C-66, la Bisbal d'Empordà</t>
  </si>
  <si>
    <t>GI-661</t>
  </si>
  <si>
    <t>GI-663</t>
  </si>
  <si>
    <t>C-25, Cassà de la Selva (C-65)</t>
  </si>
  <si>
    <t>GI-664</t>
  </si>
  <si>
    <t>GI-665</t>
  </si>
  <si>
    <t>C-31, Platja d'Aro nord (riera de Fanals)</t>
  </si>
  <si>
    <t>C-253, Platja d'Aro</t>
  </si>
  <si>
    <t>GI-666</t>
  </si>
  <si>
    <t>C-31, Platja d'Aro</t>
  </si>
  <si>
    <t>C-253, Platja d'Aro (rotonda mas Rigau)</t>
  </si>
  <si>
    <t>GI-667</t>
  </si>
  <si>
    <t>GI-661, Calonge</t>
  </si>
  <si>
    <t>GI-671</t>
  </si>
  <si>
    <t>N-IIa, Sarrià de Ter</t>
  </si>
  <si>
    <t>GI-673</t>
  </si>
  <si>
    <t>N-II, Caldes de Malavella</t>
  </si>
  <si>
    <t>GI-674, Caldes de Malavella</t>
  </si>
  <si>
    <t>GI-674</t>
  </si>
  <si>
    <t>GI-673, Caldes de Malavella</t>
  </si>
  <si>
    <t>C-253a, Llagostera</t>
  </si>
  <si>
    <t>GI-680</t>
  </si>
  <si>
    <t>C-63, Lloret de Mar</t>
  </si>
  <si>
    <t>GI-681</t>
  </si>
  <si>
    <t>C-35, Llagostera (C-253a)</t>
  </si>
  <si>
    <t>GI-682, Tossa de Mar</t>
  </si>
  <si>
    <t>GI-682</t>
  </si>
  <si>
    <t>GIP-5121</t>
  </si>
  <si>
    <t>GIP-6042</t>
  </si>
  <si>
    <t>GIV-5264</t>
  </si>
  <si>
    <t>GIV-6043</t>
  </si>
  <si>
    <t>GIV-6302</t>
  </si>
  <si>
    <t>GIV-6303</t>
  </si>
  <si>
    <t>N-141e</t>
  </si>
  <si>
    <t>N-141z</t>
  </si>
  <si>
    <t>N-141e, Anglès</t>
  </si>
  <si>
    <t>C-17, les Llosses (la Farga de Bebié)</t>
  </si>
  <si>
    <t>C-17, Ripoll (la Cúbia)</t>
  </si>
  <si>
    <t>C-17, Ripoll (coll de Terradelles)</t>
  </si>
  <si>
    <t>N-260z</t>
  </si>
  <si>
    <t>C-12D</t>
  </si>
  <si>
    <t>LL-12, Albatàrrec</t>
  </si>
  <si>
    <t>C-12F</t>
  </si>
  <si>
    <t>C-12z</t>
  </si>
  <si>
    <t>C-13</t>
  </si>
  <si>
    <t>LL-12, Lleida (la Gavarrera)</t>
  </si>
  <si>
    <t>N-260, Sort</t>
  </si>
  <si>
    <t>C-1311</t>
  </si>
  <si>
    <t>C-13LD</t>
  </si>
  <si>
    <t>C-13, Alcoletge</t>
  </si>
  <si>
    <t>C-13LE</t>
  </si>
  <si>
    <t>C-13z</t>
  </si>
  <si>
    <t>A-2, Tàrrega</t>
  </si>
  <si>
    <t>N-260, Ribera d'Urgellet (Adrall)</t>
  </si>
  <si>
    <t>C-26, Balaguer (les Partielles)</t>
  </si>
  <si>
    <t>C-148a, Balaguer (pont de Sant Miquel)</t>
  </si>
  <si>
    <t>C-13, Vilanova de Meià (la Passarel·la)</t>
  </si>
  <si>
    <t>C-14, Ponts (nucli urbà)</t>
  </si>
  <si>
    <t>L-313, Oliola</t>
  </si>
  <si>
    <t>C-1412b</t>
  </si>
  <si>
    <t>L-512, Artesa de Segre (Folquer)</t>
  </si>
  <si>
    <t>C-13, Tremp</t>
  </si>
  <si>
    <t>C-1412aLD</t>
  </si>
  <si>
    <t>C-1412a, Ponts</t>
  </si>
  <si>
    <t>C-1412aLE</t>
  </si>
  <si>
    <t>C-31F</t>
  </si>
  <si>
    <t xml:space="preserve">C-32, Cabrera de Mar </t>
  </si>
  <si>
    <t>N-II, Cabrera de Mar</t>
  </si>
  <si>
    <t>B-100z</t>
  </si>
  <si>
    <t>N-IIz, el Bruc</t>
  </si>
  <si>
    <t>Olesa de Montserrat (inici travessera)</t>
  </si>
  <si>
    <t>BV-1211, Viladecavalls (intersecció)</t>
  </si>
  <si>
    <t>C-59, Santa Perpètua de Mogoda (carril sentit únic)</t>
  </si>
  <si>
    <t>N-152a, Mollet del Vallès</t>
  </si>
  <si>
    <t>Ripollet (polígon Santiga, rotonda)</t>
  </si>
  <si>
    <t xml:space="preserve"> Ripollet (polígon Santiga , carrer de Serra Salut)</t>
  </si>
  <si>
    <t>C-59,PK 10,250, Palau-solità i Plegamans ( rotonda)</t>
  </si>
  <si>
    <t>C-31c, Sant Boi de Llobregat (polígon industrial Salines)</t>
  </si>
  <si>
    <t>C-31 el Prat de Llobregat (Ca l'Alaio)</t>
  </si>
  <si>
    <t>C-32 (sobre el pont)</t>
  </si>
  <si>
    <t>Gavà (riera dels Canyars)</t>
  </si>
  <si>
    <t>C-37, Santa Maria de Miralles (rotonda)</t>
  </si>
  <si>
    <t>N-II i B-100,  la Panadella (rotonda)</t>
  </si>
  <si>
    <t>A-2, PK 549,750, Jorba (rotonda)</t>
  </si>
  <si>
    <t>A-27</t>
  </si>
  <si>
    <t>Antiga N-II, Esparreguera</t>
  </si>
  <si>
    <t>A-2, Esparreguera</t>
  </si>
  <si>
    <t>B-250a, el Prat de Llobregat (rotonda el·líptica)</t>
  </si>
  <si>
    <t>C-31, el Prat de Llobregat (rotonda)</t>
  </si>
  <si>
    <t>N-141d Vic (inici)</t>
  </si>
  <si>
    <t>GI-520/BV-5303, Viladrau</t>
  </si>
  <si>
    <t xml:space="preserve">Vic (canvi rasant pont ferrocarril) </t>
  </si>
  <si>
    <t>B-520 (PK 6.420) Taradell (rotonda)</t>
  </si>
  <si>
    <t>BV-5305 (PK 60) Taradell</t>
  </si>
  <si>
    <t>BP-1101 (PK 1.400), Can Maçana</t>
  </si>
  <si>
    <t>BP-1121 (PK 12.000), Montserrat</t>
  </si>
  <si>
    <t>C-55, Monistrol de Montserrat</t>
  </si>
  <si>
    <t>BP-1103,Sant Jaume el Blanc, a Montserrat (cruïlla)</t>
  </si>
  <si>
    <t>Barcelona (ronda de Dalt,  la vall d'Hebron)</t>
  </si>
  <si>
    <t>BV-1418, Tibidabo (cruïlla)</t>
  </si>
  <si>
    <t>Sant Cugat del Vallès, carrer de Sant Crist (cruïlla)  i carrer de Llaceres</t>
  </si>
  <si>
    <t>Gavà (avinguda de Joan Carles I, abans avinguda de l'Oest)</t>
  </si>
  <si>
    <t>C-37 i B-220 (rotonda enllaç)</t>
  </si>
  <si>
    <t>C-15 i C-244, Sant Pere de Riudebitlles (rotonda)</t>
  </si>
  <si>
    <t>Sant Sadurní d'Anoia (rotonda d'accés a l'AP-7)</t>
  </si>
  <si>
    <t>BV-2244, Sant Sadurní d'Anoia (inici)</t>
  </si>
  <si>
    <t>B-431, Avinyó</t>
  </si>
  <si>
    <t>C-1411a, Balsareny</t>
  </si>
  <si>
    <t>C-1410 (PK 14.300), Súria</t>
  </si>
  <si>
    <t>C-154, Prats de Lluçanès</t>
  </si>
  <si>
    <t>BV-4405, Olost</t>
  </si>
  <si>
    <t>C-16 (PK 99.355) (bucle)</t>
  </si>
  <si>
    <t>C-32, Alella (accés)</t>
  </si>
  <si>
    <t>C-51, Vila-rodona</t>
  </si>
  <si>
    <t>C-55, Clariana de Cardener (Buidasacs)</t>
  </si>
  <si>
    <t>C-55, Riner (pla de Sant Miquel)</t>
  </si>
  <si>
    <t>C-55, Riner (Costa de la Guàrdia)</t>
  </si>
  <si>
    <t>C-58, Badia</t>
  </si>
  <si>
    <t>C-58CC</t>
  </si>
  <si>
    <t>C-58, Montcada i Reixac</t>
  </si>
  <si>
    <t>N-260, Alp (Collada de Toses)</t>
  </si>
  <si>
    <t>N-260a</t>
  </si>
  <si>
    <t>N-260, Olot (rotonda)</t>
  </si>
  <si>
    <t>N-260a/cruïlla amb el carrer Progrés, Ripoll</t>
  </si>
  <si>
    <t>C-1412a, a Calaf (enllaç)</t>
  </si>
  <si>
    <t>C-58, Vacarisses</t>
  </si>
  <si>
    <t>C-31, Vilanova i la Geltrú  (intersecció)</t>
  </si>
  <si>
    <t>B-24 (enllaç)</t>
  </si>
  <si>
    <t>B-224 Masquefa</t>
  </si>
  <si>
    <t>BP-2427 Sant Sadurní d'Anoia</t>
  </si>
  <si>
    <t>Begues (rotonda del final de la ronda urbana de Begues)</t>
  </si>
  <si>
    <t>N-340, Avinyonet Nou (Avinyonet del Penedès)</t>
  </si>
  <si>
    <t>Límit provincial Barcelona - Lleida</t>
  </si>
  <si>
    <t>B-402, PK 10.040, la Pobla de Lillet</t>
  </si>
  <si>
    <t>C-1411z, PK 79.400,  Berga</t>
  </si>
  <si>
    <t>BV-4511, PK 6.140, Santpedor</t>
  </si>
  <si>
    <t>B-451 (PK 1.275), Pont de Cabrianes</t>
  </si>
  <si>
    <t>C-60 (enllaç)</t>
  </si>
  <si>
    <t>BV-5105a, la Roca del Vallès (Santa Agnès Malanyanes de  nord)</t>
  </si>
  <si>
    <t>BV-5305, Balenyà</t>
  </si>
  <si>
    <t>B-530, Taradell (intersecció)</t>
  </si>
  <si>
    <t>BV-5303 (PK 5.123), Sant Miquel de Balenyà</t>
  </si>
  <si>
    <t>Súria (inici variant)</t>
  </si>
  <si>
    <t>Manresa (pont romànic)</t>
  </si>
  <si>
    <t>Copons (inici variant)</t>
  </si>
  <si>
    <t>Copons (final variant)</t>
  </si>
  <si>
    <t>A-2, Jorba</t>
  </si>
  <si>
    <t>C-1412z</t>
  </si>
  <si>
    <t>C-1412a, Calaf</t>
  </si>
  <si>
    <t>C-1412a, pk 44+765, Veciana (Sant Pere del Vim)</t>
  </si>
  <si>
    <t>C-1412a, pk 45+610, Veciana (Sant Pere del Vim)</t>
  </si>
  <si>
    <t>NC Interpolar, Rubí (rotonda PK 8)</t>
  </si>
  <si>
    <t>NC Interpolar, Rubí (Rotonda PK 8)</t>
  </si>
  <si>
    <t>N-150, Sabadell (Can Feu)</t>
  </si>
  <si>
    <t>C-155, (encreuament, inici cessió)</t>
  </si>
  <si>
    <t>C-1415a, Sentmenat</t>
  </si>
  <si>
    <t>Caldes de Montbui (avinguda de Pi i Maragall)</t>
  </si>
  <si>
    <t>Olesa de Montserrat (travessera, inici cessió)</t>
  </si>
  <si>
    <t>C-1413a (rotonda)</t>
  </si>
  <si>
    <t>C-59 (PK 14.175), Caldes de Montbui (rotonda)</t>
  </si>
  <si>
    <t>Límit comarcal Osona - La Selva</t>
  </si>
  <si>
    <t>C-154a (encreuament)</t>
  </si>
  <si>
    <t>Olost (final tram urbà)</t>
  </si>
  <si>
    <t>C-1411z Gironella</t>
  </si>
  <si>
    <t>C-1413a, Sabadell</t>
  </si>
  <si>
    <t>C-17, Lliçà</t>
  </si>
  <si>
    <t>C-32, Sant Pere de Ribes (B-211)</t>
  </si>
  <si>
    <t>Bagà (accés)</t>
  </si>
  <si>
    <t>Límit comarcal el Berguedà - la Cerdanya</t>
  </si>
  <si>
    <t>C-16, BP-1503, Sant Cugat del Vallès</t>
  </si>
  <si>
    <t>C-16,  AP-7, Sant Cugat del Vallès</t>
  </si>
  <si>
    <t>C-162</t>
  </si>
  <si>
    <t>Sant Quirze de Besora (inici variant)</t>
  </si>
  <si>
    <t>Montesquiu (final variant)</t>
  </si>
  <si>
    <t>Inici variant les Masies de Voltregà (final concessió CEDINSA)</t>
  </si>
  <si>
    <t>Torelló (inici rotonda accés)</t>
  </si>
  <si>
    <t>C-241e, terme municipal Santa Coloma de Queralt</t>
  </si>
  <si>
    <t>Antiga N-II, PK 590.200, Martorell</t>
  </si>
  <si>
    <t>N-150 (intersecció)</t>
  </si>
  <si>
    <t>A-2, Cornellà de Llobregat (enllaç)</t>
  </si>
  <si>
    <t>C-246a, Límit municipal Sant Pere de Ribes - Vilanova i la Geltrú</t>
  </si>
  <si>
    <t>Llinars del Vallès ( polígon industrial)</t>
  </si>
  <si>
    <t>Límit províncial Lleida - Barcelona</t>
  </si>
  <si>
    <t>Límit comarcal el Berguedà - el Ripollés</t>
  </si>
  <si>
    <t>C-31E</t>
  </si>
  <si>
    <t>C-32, Mataró</t>
  </si>
  <si>
    <t>C-31, l'Hospitalet de Llobregat, B-250a</t>
  </si>
  <si>
    <t>BV-5008, carretera de Teià</t>
  </si>
  <si>
    <t>C-31, Badalona (avinguda de Joan Valera)</t>
  </si>
  <si>
    <t>C-17, Parets del Vallès (rotonda)</t>
  </si>
  <si>
    <t>C-532</t>
  </si>
  <si>
    <t>C-243a, Sant sadurní d'Anoia (rotonda)</t>
  </si>
  <si>
    <t>A-2, Abrera</t>
  </si>
  <si>
    <t>C-25 / C-37, Manresa C-37 (rotonda)</t>
  </si>
  <si>
    <t>Súria (final variant)</t>
  </si>
  <si>
    <t>C-352, Granollers (enllaç amb rotonda)</t>
  </si>
  <si>
    <t>Cardona (inici variant)</t>
  </si>
  <si>
    <t>Cardona (final variant)</t>
  </si>
  <si>
    <t>B-143, Palau-solità i Plegamans (final variant)</t>
  </si>
  <si>
    <t>B-143, Palau-solità i Plegamans (inici variant)</t>
  </si>
  <si>
    <t>Límit comarcal el Vallès Oriental - Osona</t>
  </si>
  <si>
    <t>C-59, Moià</t>
  </si>
  <si>
    <t>C-25, Sant Bartomeu del Grau</t>
  </si>
  <si>
    <t>Manresa (pont de ferro)</t>
  </si>
  <si>
    <t>Terrassa ( habitatges Parc Sabadell)</t>
  </si>
  <si>
    <t>Final cessió Ajuntament de la Garriga (rotonda "Piferrer")</t>
  </si>
  <si>
    <t>Inici cessió Aiguafreda (glorieta)</t>
  </si>
  <si>
    <t>Final cessió Aiguafreda (enllaç C-17)</t>
  </si>
  <si>
    <t>C-17, Seva</t>
  </si>
  <si>
    <t>Inici cessió Ajuntament de Vic (enllaç B-521)</t>
  </si>
  <si>
    <t>Final cessió Ajuntament de Vic (rotonda)</t>
  </si>
  <si>
    <t>Inici cessió Ajuntament de Vic (rotonda d'enllaç amb la C-154a)</t>
  </si>
  <si>
    <t>Final cessió, doble rotonda elevada</t>
  </si>
  <si>
    <t>Límit terme municipal  Vic - Gurb</t>
  </si>
  <si>
    <t>B-40z</t>
  </si>
  <si>
    <t>C-60/AP-7, La Roca del Vallès</t>
  </si>
  <si>
    <t>C-1415c, La Roca del Vallès</t>
  </si>
  <si>
    <t>C-154, Sant Bartomeu del Grau</t>
  </si>
  <si>
    <t>C-62, Prats de Lluçanès (la Serreria)</t>
  </si>
  <si>
    <t>C-62, Olost</t>
  </si>
  <si>
    <t>B-20, rotonda del Mil·leni, Montgat</t>
  </si>
  <si>
    <t>Límit cessió PK 682  (estrep pont ferrocarril)</t>
  </si>
  <si>
    <t xml:space="preserve"> A-2, Jorba (rotonda)</t>
  </si>
  <si>
    <t>Límit municipal Vilanova del Camí - Ódena</t>
  </si>
  <si>
    <t>A-2, Castellolí (enllaç)</t>
  </si>
  <si>
    <t>Sortida de l'A-2, Collbató (avinguda de Montserrat)</t>
  </si>
  <si>
    <t>Collbató, barri de les Illes</t>
  </si>
  <si>
    <t>Corbera de Llobregat (passeig de Francesc Macià, rotonda)</t>
  </si>
  <si>
    <t>Riera de Corbera de Llobregat</t>
  </si>
  <si>
    <t>B-111, intersecció</t>
  </si>
  <si>
    <t>C-14LD</t>
  </si>
  <si>
    <t>C-14LE</t>
  </si>
  <si>
    <t>C-1412bz</t>
  </si>
  <si>
    <t>Isona</t>
  </si>
  <si>
    <t>Figuerola d'Orcau</t>
  </si>
  <si>
    <t>C-1412b, PK 51+403</t>
  </si>
  <si>
    <t>C-1412b, PK 52+241</t>
  </si>
  <si>
    <t>C-142z</t>
  </si>
  <si>
    <t>C-28, Alt Àneu (els Avets)</t>
  </si>
  <si>
    <t>C-28, Vielha e Mijaran (Betren)</t>
  </si>
  <si>
    <t>C-147</t>
  </si>
  <si>
    <t>Alt Àneu (Alòs d'Isil)</t>
  </si>
  <si>
    <t>C-147z</t>
  </si>
  <si>
    <t>C-148</t>
  </si>
  <si>
    <t>N-II, Vilagrassa</t>
  </si>
  <si>
    <t>A-2, Vilagrassa, (C-53)</t>
  </si>
  <si>
    <t>C-148a</t>
  </si>
  <si>
    <t>C-53, Vallfogona de Balaguer (la Ràpita)</t>
  </si>
  <si>
    <t>C-12, Balaguer</t>
  </si>
  <si>
    <t>C-149z</t>
  </si>
  <si>
    <t>C-26, Solsona</t>
  </si>
  <si>
    <t>C-26, Olius</t>
  </si>
  <si>
    <t>C-233</t>
  </si>
  <si>
    <t>N-240, les Borges Blanques (inici variant)</t>
  </si>
  <si>
    <t>L-200, les Borges Blanques (sèquia Quarta)</t>
  </si>
  <si>
    <t>N-II, Bellpuig</t>
  </si>
  <si>
    <t>C-242</t>
  </si>
  <si>
    <t>C-242a</t>
  </si>
  <si>
    <t>C-12, Torrebesses</t>
  </si>
  <si>
    <t>Pont C-13, Balaguer (C-53)</t>
  </si>
  <si>
    <t>C-13, la Sentiu de Sió (Muller Vell)</t>
  </si>
  <si>
    <t>C-16, Riu de Cerdanya (la Coma)</t>
  </si>
  <si>
    <t>GI-400</t>
  </si>
  <si>
    <t>GI-404, Alp</t>
  </si>
  <si>
    <t>GI-404</t>
  </si>
  <si>
    <t>GI-400, Alp</t>
  </si>
  <si>
    <t>C-162, Das</t>
  </si>
  <si>
    <t xml:space="preserve">GI-503, Pk 7, Darnius </t>
  </si>
  <si>
    <t>Bàscara (Orriols, inici rotonda oest enllaç N-II)</t>
  </si>
  <si>
    <t>GI-514, PK 6,530, Cornellà del Terri</t>
  </si>
  <si>
    <t>N-260a, la Vall de Bianya (coll de Coubet)</t>
  </si>
  <si>
    <t>Antiga N-260, Olot (carrer de les Mulleres)</t>
  </si>
  <si>
    <t>Banyoles (cruïlla de Miànigues)</t>
  </si>
  <si>
    <t>N-141e, Bescanó</t>
  </si>
  <si>
    <t>C-252 /GIV-6033, Garriguella</t>
  </si>
  <si>
    <t>GI-604, Vilajuïga (rotonda)</t>
  </si>
  <si>
    <t>Roses (coll del Pení, accés a la carretera militar )</t>
  </si>
  <si>
    <t>C-31, Ventalló (l'Arbre Sec) (rotonda d'enllaç)</t>
  </si>
  <si>
    <t>C-31a, Viladamat</t>
  </si>
  <si>
    <t>GI-623, Viladamat (rotonda)</t>
  </si>
  <si>
    <t>L'Escala (avinguda de Girona)</t>
  </si>
  <si>
    <t>L'Estartit (rotonda GI-641 amb l'avinguda de Grècia)</t>
  </si>
  <si>
    <t>Límit nucli urbà de Begur</t>
  </si>
  <si>
    <t>GI-661, Calonge (carrer de Mossèn Cinto Verdaguer)</t>
  </si>
  <si>
    <t>GI-660, Calonge (carrer de Mossèn Cinto Verdaguer)</t>
  </si>
  <si>
    <t>Sant Feliu de Guíxols (carrer de l'Horta)</t>
  </si>
  <si>
    <t>C-35, Massanes</t>
  </si>
  <si>
    <t>C-260, Castelló d'Empúries</t>
  </si>
  <si>
    <t>GIV-6216</t>
  </si>
  <si>
    <t>GIV-6217, St Pere Pescador (rotonda)</t>
  </si>
  <si>
    <t>C-31, Ventalló</t>
  </si>
  <si>
    <t>GIV-6216, Sant Pere Pescador</t>
  </si>
  <si>
    <t>A-26, Argelaguer (rotonda d'enllaç A-26)</t>
  </si>
  <si>
    <t>N-260, Castellfollit (inici travessera)</t>
  </si>
  <si>
    <t>N-260, Castellfollit de la Roca (final travessera)</t>
  </si>
  <si>
    <t>Límit França, Molló (coll d'Ares)</t>
  </si>
  <si>
    <t>Àger (accés Agulló)</t>
  </si>
  <si>
    <t>AP-2, (cruïlla branc est)</t>
  </si>
  <si>
    <t>AP-7 (intersecció,  final TABASA inici  AUTEMA)</t>
  </si>
  <si>
    <t>C-16c, Sant Fruitós de Bages</t>
  </si>
  <si>
    <t>Estructura Accés Mongat (inici concessió)</t>
  </si>
  <si>
    <t>C-32, Montgat (B-20)</t>
  </si>
  <si>
    <t>AP-7, el Vendrell (N-340, Masia Alfons)</t>
  </si>
  <si>
    <t>C-15z, Vilafranca del Penedès</t>
  </si>
  <si>
    <t>C-58 i B-120, Terrassa</t>
  </si>
  <si>
    <t>B-20, Sant Boi de Llobregat</t>
  </si>
  <si>
    <t>C-58C</t>
  </si>
  <si>
    <t>C-58, Sabadell</t>
  </si>
  <si>
    <t>C-37, Alcover (accés)</t>
  </si>
  <si>
    <t>B-100, Sant Guim de Freixenet</t>
  </si>
  <si>
    <t>LV-1005, Sant Guim de Freixenet (estació FFCC)</t>
  </si>
  <si>
    <t>B-122</t>
  </si>
  <si>
    <t>Terrassa (passeig de 22 de juliol)</t>
  </si>
  <si>
    <t>Castellbell i el Vilar (Pont  nou de Burés)</t>
  </si>
  <si>
    <t>B-140 (rotonda)</t>
  </si>
  <si>
    <t>T-221, LV-2033, Talavera (Coll de la Creu)</t>
  </si>
  <si>
    <t>Inici del pont sobre el riu Llobregat (final cessió)</t>
  </si>
  <si>
    <t>BV-4512, Artés</t>
  </si>
  <si>
    <t>B-433</t>
  </si>
  <si>
    <t>B-431, Sant Feliu Sasserra</t>
  </si>
  <si>
    <t>B-461</t>
  </si>
  <si>
    <t>Orís (túnel tapiat antiga N-152a)</t>
  </si>
  <si>
    <t>Vilafranca del Penedès (final travessera)</t>
  </si>
  <si>
    <t>BP-2151 , Sant Sadurní d'Anoia (continuació, PK 9.300)</t>
  </si>
  <si>
    <t>BV-2241, Sant Sadurní d'Anoia (intersecció)</t>
  </si>
  <si>
    <t>BP-2151, Sant Sadurní d'Anoia (antiga intersecció, PK 9,610)</t>
  </si>
  <si>
    <t>BV-2422, Corbera de Llobregat</t>
  </si>
  <si>
    <t>Sant Cugat Sesgarrigues (rotonda)</t>
  </si>
  <si>
    <t xml:space="preserve">BV-5303, Seva </t>
  </si>
  <si>
    <t>C-37 / N-II, la Pobla de Claramunt</t>
  </si>
  <si>
    <t>Antiga C-37, Santa Margarida de Montbui (rotonda variant)</t>
  </si>
  <si>
    <t>C-15/N-IIa, Vilanova del Camí (rotonda variant)</t>
  </si>
  <si>
    <t>C-25, Sant Joan de Vilatorrada</t>
  </si>
  <si>
    <t>C-17, Manlleu</t>
  </si>
  <si>
    <t>BP-4313, Súria (inici cessió ajuntament)</t>
  </si>
  <si>
    <t>Final travessera, cruïlla carrer de Jacint Verdaguer (final cessió ajuntament)</t>
  </si>
  <si>
    <t>BV-4132z, Gironella</t>
  </si>
  <si>
    <t>Sabadell (creuament Gran Via)</t>
  </si>
  <si>
    <t>C-155, PK 0,520 (enllaç)</t>
  </si>
  <si>
    <t>Terrassa (rotonda polígon industrial)</t>
  </si>
  <si>
    <t>C-15 / C-15z, Canyelles</t>
  </si>
  <si>
    <t>C-15Bz</t>
  </si>
  <si>
    <t>Canyelles (talús C-15B)</t>
  </si>
  <si>
    <t xml:space="preserve"> Canyelles (talús C-15)</t>
  </si>
  <si>
    <t>C-15z</t>
  </si>
  <si>
    <t>C-15/C-32, Vilanova i la Geltrú (rotonda)</t>
  </si>
  <si>
    <t>C-15/BP-2151, Sant Pere de Riudebitlles</t>
  </si>
  <si>
    <t>A-2, Cornellà de Llobregat  (enllaç)</t>
  </si>
  <si>
    <t>Antiga C-245, Castelldefels (avinguda de la Platja)</t>
  </si>
  <si>
    <t xml:space="preserve">C-17 / C-154, Vic </t>
  </si>
  <si>
    <t>C-37z</t>
  </si>
  <si>
    <t>BV-1081, Castellfollit del Boix (intersecció)</t>
  </si>
  <si>
    <t>C-37/BP-1101, Sant Salvador de Guardiola (rotonda, Salelles)</t>
  </si>
  <si>
    <t>Manresa (Carrer Muralla Sant Domènec)</t>
  </si>
  <si>
    <t>C-25/C-55, Manresa</t>
  </si>
  <si>
    <t>BV-2241 / BBV-2244 Sant Sadurní d'Anoia (rotonda)</t>
  </si>
  <si>
    <t>C-25, Santa Maria d'Oló (enllaç)</t>
  </si>
  <si>
    <t>B-433, Oristà</t>
  </si>
  <si>
    <t>C-17, Sant martí de Centelles (L'Avençó, Aiguafreda)</t>
  </si>
  <si>
    <t xml:space="preserve"> A-2/C-1412a, Jorba (rotonda)</t>
  </si>
  <si>
    <t>A-2/C-1412a, Jorba (rotonda)</t>
  </si>
  <si>
    <t>Jorba (inici cessió Ajuntament)</t>
  </si>
  <si>
    <t>Jorba (final cessió Ajuntament)</t>
  </si>
  <si>
    <t>A-2/B-222, Jorba</t>
  </si>
  <si>
    <t>C-37, Vilanova del Camí (rotonda variant)</t>
  </si>
  <si>
    <t>C-15/C-37, Vilanova del Camí (rotonda)</t>
  </si>
  <si>
    <t>N-260, Fontanals de Cerdanya</t>
  </si>
  <si>
    <t>GIV-6703, Quart (ctra, de la Creuta a Madremanya)</t>
  </si>
  <si>
    <t>C-250, Cassà de la Selva</t>
  </si>
  <si>
    <t>Inici del terme municipal de Quart</t>
  </si>
  <si>
    <t>AP-7 (rotonda d'enllaç), Borrassà</t>
  </si>
  <si>
    <t>N-260, Sant Joan de les Abadesses</t>
  </si>
  <si>
    <t>GI-680, Lloret de Mar</t>
  </si>
  <si>
    <t>Límit comarcal el Ripollès - el Berguedà (B-402, pont riu Arija)</t>
  </si>
  <si>
    <t>GIV-5145, Cornellà del Terri</t>
  </si>
  <si>
    <t>N-260z, Castellfollit de la Roca</t>
  </si>
  <si>
    <t>N-260, Sant Joan les Fonts (la Canya)</t>
  </si>
  <si>
    <t xml:space="preserve">GI-542/antiga GI-541, Sant Hilari Sacalm </t>
  </si>
  <si>
    <t>Sant Miquel de Fluvià (estació d'FC)</t>
  </si>
  <si>
    <t>C-31, Pals (GI-652)</t>
  </si>
  <si>
    <t>C-31, Pals (GIV-6502)</t>
  </si>
  <si>
    <t>Banyoles (rotonda les Arcades)</t>
  </si>
  <si>
    <t>N-260, Cabanelles (can Vilar)</t>
  </si>
  <si>
    <t>Peralada (rotonda Castell)</t>
  </si>
  <si>
    <t>GIV-6043, Vilanova de la Muga</t>
  </si>
  <si>
    <t>C-38 PK 9,610 (rotonda), Camprodon</t>
  </si>
  <si>
    <t>Final de la travessera de Setcases</t>
  </si>
  <si>
    <t>Castelló d'Empúries (carrer Puig de la Muga)</t>
  </si>
  <si>
    <t>GIP-6042, Vilanova de la Muga</t>
  </si>
  <si>
    <t>L'Armentera (final travessera)</t>
  </si>
  <si>
    <t>N-260, Olot (rotonda de connexió N-260z/ronda les Mates)</t>
  </si>
  <si>
    <t>C-12, Balaguer (cruïlla)</t>
  </si>
  <si>
    <t>C-12, Balaguer (cruïlla amb el carrer de la Banqueta)</t>
  </si>
  <si>
    <t>C-26/C-14z Artesa de Segre</t>
  </si>
  <si>
    <t>C-26, Artesa de Segre</t>
  </si>
  <si>
    <t>Antiga C-13, Salàs de Pallars (pont)</t>
  </si>
  <si>
    <t>C-230a (27+280), Torrebesses</t>
  </si>
  <si>
    <t>C-242 (pk0+425), Torrebesses</t>
  </si>
  <si>
    <t>C-14, Artesa de Segre (fi variant)</t>
  </si>
  <si>
    <t>C-363</t>
  </si>
  <si>
    <t>C-14z, Artesa de Segre</t>
  </si>
  <si>
    <t>inici rotonda connexió N-IIa (final cessió Aj Òdena)</t>
  </si>
  <si>
    <t>C-32, Sitges Nord</t>
  </si>
  <si>
    <t>Sitges (estrep nord estructura)</t>
  </si>
  <si>
    <t>C-32, Sant Pere de Ribes</t>
  </si>
  <si>
    <t>C-32, Sitges (les Botigues)</t>
  </si>
  <si>
    <t>C-535</t>
  </si>
  <si>
    <t>C-62</t>
  </si>
  <si>
    <t>C-16, Gironella (rotonda)</t>
  </si>
  <si>
    <t>Sector Redosa-Vallençana (final cessió Ajuntament de Ripollet del Vallès)</t>
  </si>
  <si>
    <t>GI-662</t>
  </si>
  <si>
    <t>N-II / N-156, Riudellots de la Selva (Rotonda)</t>
  </si>
  <si>
    <t>Final / inici termes municipals de Figueres / Cabanes</t>
  </si>
  <si>
    <t>Sant Feliu de Guíxols (passeig dels Guíxols)</t>
  </si>
  <si>
    <t>Castell-Platja d'Aro (rec del Molí)</t>
  </si>
  <si>
    <t>GI-665,Castell-Platja d'Aro (rotonda)</t>
  </si>
  <si>
    <t>C-31, La Tallada d'Empordà</t>
  </si>
  <si>
    <t>Sant Jordi Desvalls (pas a nivell, via del tren)</t>
  </si>
  <si>
    <t>C-31, Castell-Platja d'Aro (inici rotonda de les Ovelles)</t>
  </si>
  <si>
    <t>C-63, Santa Coloma de Farners</t>
  </si>
  <si>
    <t>C-37/C-152,  la Vall d'en Bas (rotonda)</t>
  </si>
  <si>
    <t>GI-633, Vilopriu</t>
  </si>
  <si>
    <t>C-31, Castell-Platja d'Aro (final rotonda de les Ovelles)</t>
  </si>
  <si>
    <t>C-451B, Solsona</t>
  </si>
  <si>
    <t>C-55/C-26, Solsona</t>
  </si>
  <si>
    <t>C-462z</t>
  </si>
  <si>
    <t xml:space="preserve">LV-4241, Solsona </t>
  </si>
  <si>
    <t>C-462, Olius (rotonda)</t>
  </si>
  <si>
    <t>C-55z</t>
  </si>
  <si>
    <t>L-311/L-313, Guissona (rotonda)</t>
  </si>
  <si>
    <t xml:space="preserve">L-310/L-313, Guissona (rotonda) </t>
  </si>
  <si>
    <t>L-310/L-311, Guissona (rotonda)</t>
  </si>
  <si>
    <t>C-14, Coll de Nargó (pont d'Espià)</t>
  </si>
  <si>
    <t>L-504, Tírvia (rotonda)</t>
  </si>
  <si>
    <t>Rotonda d'accès a l'N-240</t>
  </si>
  <si>
    <t>N-420, Botarell (Rotonda)</t>
  </si>
  <si>
    <t xml:space="preserve">C-31B, Tarragona </t>
  </si>
  <si>
    <t>C-421B</t>
  </si>
  <si>
    <t>C-142B</t>
  </si>
  <si>
    <t>C-28, Naut Aran (Baqueira)</t>
  </si>
  <si>
    <t>Naut Aran (Pla de Beret)</t>
  </si>
  <si>
    <t>N-240, Perafort (rotonda)</t>
  </si>
  <si>
    <t>TV-2231, La Secuita (rotonda, accés AVE)</t>
  </si>
  <si>
    <t>C-51z</t>
  </si>
  <si>
    <t>B-221 / LV-2033, Talavera (coll de la Creu)</t>
  </si>
  <si>
    <t>TV-7211, Constantí (rotonda)</t>
  </si>
  <si>
    <t>N-240a, Alcover (variant FFCC)</t>
  </si>
  <si>
    <t>TV-3101</t>
  </si>
  <si>
    <t>T-344, Amposta (rotonda)</t>
  </si>
  <si>
    <t>C-221z</t>
  </si>
  <si>
    <t>C-221, Batea</t>
  </si>
  <si>
    <t>C-221, Batea (rotonda nord)</t>
  </si>
  <si>
    <t>C-221, Batea (rotonda sud)</t>
  </si>
  <si>
    <t xml:space="preserve">C-221, Batea </t>
  </si>
  <si>
    <t>Horta de Sant Joan (Plaça Catalunya, final)</t>
  </si>
  <si>
    <t>La Sénia (rotonda)</t>
  </si>
  <si>
    <t>TP-3318, Alcanar (rotonda est circumval·lació)</t>
  </si>
  <si>
    <t>C-12F, Balaguer (cruïlla)</t>
  </si>
  <si>
    <t>Antiga C-148a, Balaguer (cruïlla)</t>
  </si>
  <si>
    <t>C-13/ C-28 (inici variant)</t>
  </si>
  <si>
    <t>Intersecció C-28z/ C-147 (final variant)</t>
  </si>
  <si>
    <t>C-14, Ponts</t>
  </si>
  <si>
    <t>C-14, Ponts (Pedra Negra)</t>
  </si>
  <si>
    <t>C-14 (intersecció, entrada túnel lo Coscollet)</t>
  </si>
  <si>
    <t>C-14 (intersecció, sortida túnel lo Coscollet)</t>
  </si>
  <si>
    <t>C-14 (intersecció, 1r accés a la Penella)</t>
  </si>
  <si>
    <t>C-14 (intersecció, 2n accés a la Penella)</t>
  </si>
  <si>
    <t>C-14 (intersecció, entrada túnel de Remolins)</t>
  </si>
  <si>
    <t>C-14 (intersecció, sortida túnel de Remolins)</t>
  </si>
  <si>
    <t>C-14 (intersecció, entrada túnel d'Ovaga Negra)</t>
  </si>
  <si>
    <t>C-14 (intersecció, sortida túnel d'Ovaga Negra)</t>
  </si>
  <si>
    <t>C-14 (intersecció, entrada túnel d'Espluvins)</t>
  </si>
  <si>
    <t>C-14 (intersecció)</t>
  </si>
  <si>
    <t>C-14 (intersecció, pont Raiers)</t>
  </si>
  <si>
    <t xml:space="preserve">C-13z / C-28z, Alt Àneu (Esterri d'Àneu) </t>
  </si>
  <si>
    <t>C-13, Castell de Mur (congost dels Tarradets)</t>
  </si>
  <si>
    <t>LV-9121,Llimiana</t>
  </si>
  <si>
    <t>C-13, Salàs de Pallars</t>
  </si>
  <si>
    <t>LP-4033, Bellver de Cerdanya</t>
  </si>
  <si>
    <t>LV-1004, Les Oluges (els Aigols)</t>
  </si>
  <si>
    <t>C-26z</t>
  </si>
  <si>
    <t>Inici sobrant (PK37+585 C-26)</t>
  </si>
  <si>
    <t>Final sobrant (PK37+681 C-26)</t>
  </si>
  <si>
    <t>Inici sobrant (PK37+788 C-26)</t>
  </si>
  <si>
    <t>Final sobrant (PK37+962 C-26)</t>
  </si>
  <si>
    <t>Inici sobrant (PK38+569 C-26)</t>
  </si>
  <si>
    <t>Final sobrant (PK38+857 C-26)</t>
  </si>
  <si>
    <t>Inici sobrant (PK39+093 C-26)</t>
  </si>
  <si>
    <t>Final sobrant (PK39+111 C-26)</t>
  </si>
  <si>
    <t>Inici sobrant (PK40+740 C-26)</t>
  </si>
  <si>
    <t>Final sobrant (PK40+990 C-26)</t>
  </si>
  <si>
    <t>C-13 (Esterri d'Àneu)</t>
  </si>
  <si>
    <t>C-13z / C-147, Esterri d'Àneu</t>
  </si>
  <si>
    <t>C-26 PK-107,845 (terme municipal d'Olius)</t>
  </si>
  <si>
    <t>La Seu d'Urgell</t>
  </si>
  <si>
    <t>N-II, Mollerussa</t>
  </si>
  <si>
    <t>N-141f, Cervera (avinguda de Duran i Santpere)</t>
  </si>
  <si>
    <t>L-401, Guixers (Coll de Jou)</t>
  </si>
  <si>
    <t>Intersecció amb la C-462</t>
  </si>
  <si>
    <t>Intersecció amb la C-462 (PK 21)</t>
  </si>
  <si>
    <t>Límit comarca el Solsonès - el Berguedà</t>
  </si>
  <si>
    <t>LV-5118</t>
  </si>
  <si>
    <t>C-14 PK 144+300, Peramola</t>
  </si>
  <si>
    <t>Peramola (límit nucli urbà)</t>
  </si>
  <si>
    <t>LV-7023</t>
  </si>
  <si>
    <t>N-240 PK 73+550 Juneda</t>
  </si>
  <si>
    <t>C-233 / L-702, Castelldans (carrer de la Font)</t>
  </si>
  <si>
    <t>LP-2015</t>
  </si>
  <si>
    <t>LP-2041, Bellpuig</t>
  </si>
  <si>
    <t>LP-2335</t>
  </si>
  <si>
    <t>L-201 PK 8+650, Maldà</t>
  </si>
  <si>
    <t>Límit provincial Lleida - Tarragona</t>
  </si>
  <si>
    <t>LP-3322</t>
  </si>
  <si>
    <t>Límit comarcal el Pla d'Urgell - la Noguera</t>
  </si>
  <si>
    <t>LP-7013</t>
  </si>
  <si>
    <t>N - 240, Vinaixa</t>
  </si>
  <si>
    <t>LP-7041</t>
  </si>
  <si>
    <t>N-II, PK 448.785, Soses</t>
  </si>
  <si>
    <t>La Granja d'Escarp</t>
  </si>
  <si>
    <t>La Portella accès sud</t>
  </si>
  <si>
    <t>LV-9225, Albesa</t>
  </si>
  <si>
    <t>LV-2001</t>
  </si>
  <si>
    <t>N-240, PK 74+510, Juneda</t>
  </si>
  <si>
    <t>LV-3025</t>
  </si>
  <si>
    <t>C-26, PK 31+000, la Sentiu de Sió</t>
  </si>
  <si>
    <t>C-14, PK 89+390, Agramunt</t>
  </si>
  <si>
    <t>LV-9225</t>
  </si>
  <si>
    <t>LP-9221, Albesa</t>
  </si>
  <si>
    <t>Rotonda  A-2, Soses</t>
  </si>
  <si>
    <t>N-240, Montblanc (Acces autopista AP-2)</t>
  </si>
  <si>
    <t>Reus (límit T M Reus - La Selva del Camp)</t>
  </si>
  <si>
    <t>C-14, Reus (Enllaç Reus Nord)</t>
  </si>
  <si>
    <t>C-14, La Selva del Camp (P,I, Silva)</t>
  </si>
  <si>
    <t>C-14z, Alcover</t>
  </si>
  <si>
    <t>Calafell (rotonda)</t>
  </si>
  <si>
    <t>T-721, Constantí (Cementiri)</t>
  </si>
  <si>
    <t>N-340, El Vendrell (Acces hospital)</t>
  </si>
  <si>
    <t xml:space="preserve">Accés AP-7, Cambrils, P I Belianes, </t>
  </si>
  <si>
    <t>N-420a, Falset</t>
  </si>
  <si>
    <t>Tarragona (inici superposició amb circumval·lació)</t>
  </si>
  <si>
    <t>BV-2115, límit comarcal el Baix Penedès - l'Alt Penedès</t>
  </si>
  <si>
    <t>N-II, Montmaneu</t>
  </si>
  <si>
    <t>LV-1005, Sant Guim de Freixenet (rotonda)</t>
  </si>
  <si>
    <t>c/ Terque (inici cessió Ajuntament de Terrassa)</t>
  </si>
  <si>
    <t>final rotonda (final cessió Ajuntament de Terrassa)</t>
  </si>
  <si>
    <t>Santa Perpètua de Mogoda (final cessió Aj, inici pont riera de Caldes, rotonda)</t>
  </si>
  <si>
    <t>Santa Perpètua de Mogoda (final pont riera de Caldes, rotonda)</t>
  </si>
  <si>
    <t>C-155, Polinyà (rotonda), final variant</t>
  </si>
  <si>
    <t>B-142z</t>
  </si>
  <si>
    <t>A-2, Castellbisbal  (rotonda inclosa)</t>
  </si>
  <si>
    <t>TP-2442</t>
  </si>
  <si>
    <t>TP-2125, Sant Jaume dels Domenys (Intersecció TV-2122)</t>
  </si>
  <si>
    <t>B-212, Sant Jaume dels Domenys</t>
  </si>
  <si>
    <t>A-7, Cambrils (Rotonda)</t>
  </si>
  <si>
    <t>T-310a, Riudoms (avinguda de Reus)</t>
  </si>
  <si>
    <t>N-240, Vimbodí -Poblet</t>
  </si>
  <si>
    <t>N-240, Reus (avinguda de Marià Fortuny)</t>
  </si>
  <si>
    <t>C-37, Alcover</t>
  </si>
  <si>
    <t>N-240, Montblanc</t>
  </si>
  <si>
    <t>A-221, límit Aragó (Batea)</t>
  </si>
  <si>
    <t>N-420, Gandesa</t>
  </si>
  <si>
    <t xml:space="preserve">T-333, Prat de Comte </t>
  </si>
  <si>
    <t>N-230b, Prat de Comte</t>
  </si>
  <si>
    <t>Antiga N-340, el Perelló (polígon Pla de Solans)</t>
  </si>
  <si>
    <t>TV-3531, carrer d'Antoni Gaudí</t>
  </si>
  <si>
    <t>Límit Aragó, A-231, Arnes (Riu Algars)</t>
  </si>
  <si>
    <t xml:space="preserve">T-333/T-361, Prat de Comte </t>
  </si>
  <si>
    <t>TV-3454, Deltebre</t>
  </si>
  <si>
    <t>TV-3316, Alcanar (avinguda de la  Verge de Montserrat, 78)</t>
  </si>
  <si>
    <t>N-340, Amposta (intersecció)</t>
  </si>
  <si>
    <t>TV-3403 (intersecció)</t>
  </si>
  <si>
    <t>N-340 antiga, Sant Carles de la Ràpita (Mas Papiol)</t>
  </si>
  <si>
    <t>Sant Carles de la Ràpita (Camí l'Encanyissada)</t>
  </si>
  <si>
    <t>Estrep dret del pont sobre el riu Matarranya</t>
  </si>
  <si>
    <t>Total vies de calçada única</t>
  </si>
  <si>
    <t>Vies de calçada única</t>
  </si>
  <si>
    <t>T-11, Reus</t>
  </si>
  <si>
    <t>GI-614, Roses (rotonda)</t>
  </si>
  <si>
    <t>T-11, Reus (variant)</t>
  </si>
  <si>
    <t>C-14, Artesa de Segre</t>
  </si>
  <si>
    <t>C-14, Bassella</t>
  </si>
  <si>
    <t>C-28</t>
  </si>
  <si>
    <t>N-230, Vielha e Mijaran</t>
  </si>
  <si>
    <t>C-28z</t>
  </si>
  <si>
    <t>C-45</t>
  </si>
  <si>
    <t>C-12, Maials</t>
  </si>
  <si>
    <t>Límit Aragó, Seròs</t>
  </si>
  <si>
    <t>C-451</t>
  </si>
  <si>
    <t>L-313,Guissona</t>
  </si>
  <si>
    <t>C-451B</t>
  </si>
  <si>
    <t>C-451, PK 52+245</t>
  </si>
  <si>
    <t>C-45LD</t>
  </si>
  <si>
    <t>C-45, Seròs</t>
  </si>
  <si>
    <t>C-45LE</t>
  </si>
  <si>
    <t>C-45, Maials</t>
  </si>
  <si>
    <t>C-462</t>
  </si>
  <si>
    <t>A-2, Vilagrassa, (C-148) (la Peixera)</t>
  </si>
  <si>
    <t>Pont C-13, Vallfogona de Balaguer (C-26)</t>
  </si>
  <si>
    <t>C-563</t>
  </si>
  <si>
    <t>Tuixén (pont sobre el riu Josa, marge dret)</t>
  </si>
  <si>
    <t>L-200</t>
  </si>
  <si>
    <t>C-233, les Borges Blanques (canal auxiliar d'Urgell)</t>
  </si>
  <si>
    <t>L-201</t>
  </si>
  <si>
    <t>C-14, Ciutadilla (coll de Portell)</t>
  </si>
  <si>
    <t>C-233, Arbeca</t>
  </si>
  <si>
    <t>L-201z</t>
  </si>
  <si>
    <t>L-201(PK-7,658)</t>
  </si>
  <si>
    <t>L-201(PK-8,054)</t>
  </si>
  <si>
    <t>L-214</t>
  </si>
  <si>
    <t>L-243, Montoliu de Segarra (Cabestany)</t>
  </si>
  <si>
    <t>L-220</t>
  </si>
  <si>
    <t>L-201, Maldà (LV-2014)</t>
  </si>
  <si>
    <t>L-232, els Omells de na Gaia (LV-2338)</t>
  </si>
  <si>
    <t>L-232</t>
  </si>
  <si>
    <t>L-220, els Omells de na Gaia (LV-2338)</t>
  </si>
  <si>
    <t>L-241</t>
  </si>
  <si>
    <t>C-14, Ciutadilla</t>
  </si>
  <si>
    <t>L-243</t>
  </si>
  <si>
    <t>L-214, Montoliu de Segarra (Cabestany)</t>
  </si>
  <si>
    <t>L-303</t>
  </si>
  <si>
    <t>C-14, Agramunt</t>
  </si>
  <si>
    <t>L-304</t>
  </si>
  <si>
    <t>L-303, els Plans de Sió (Mont-roig)</t>
  </si>
  <si>
    <t>L-310, els Plans de Sió (Concabella)</t>
  </si>
  <si>
    <t>L-310</t>
  </si>
  <si>
    <t>L-311</t>
  </si>
  <si>
    <t>N-II, Cervera</t>
  </si>
  <si>
    <t>L-311-B</t>
  </si>
  <si>
    <t>L-311z</t>
  </si>
  <si>
    <t>L-311, Tarroja de Segarra (Sant Julià Màrtir)</t>
  </si>
  <si>
    <t>L-311, Guissona</t>
  </si>
  <si>
    <t xml:space="preserve"> Guissona </t>
  </si>
  <si>
    <t>L-313</t>
  </si>
  <si>
    <t>C-1412a, Oliola (riu el Llobregós)</t>
  </si>
  <si>
    <t>L-401</t>
  </si>
  <si>
    <t>LV-4241, Guixers (coll de Jou)</t>
  </si>
  <si>
    <t>L-500</t>
  </si>
  <si>
    <t>N-230, el Pont de Suert</t>
  </si>
  <si>
    <t>Barruera (Caldes de Boí)</t>
  </si>
  <si>
    <t>L-501</t>
  </si>
  <si>
    <t>L-500, Barruera (pont de Boí)</t>
  </si>
  <si>
    <t>Entrada urbanització Pla de l'Ermita</t>
  </si>
  <si>
    <t>L-503</t>
  </si>
  <si>
    <t>N-260, Senterada (riu de Ballera)</t>
  </si>
  <si>
    <t>Rotonda enllaç A-7</t>
  </si>
  <si>
    <t>La Torre de Cabdella</t>
  </si>
  <si>
    <t>L-504</t>
  </si>
  <si>
    <t>C-13, Llavorsí (riu Noguera Pallaresa)</t>
  </si>
  <si>
    <t>Lladorre (Tavascan)</t>
  </si>
  <si>
    <t>L-510</t>
  </si>
  <si>
    <t>Alins (Àreu)</t>
  </si>
  <si>
    <t>L-511</t>
  </si>
  <si>
    <t>C-1412bz, Isona i Conca Dellà</t>
  </si>
  <si>
    <t>C-14, Coll de Nargó</t>
  </si>
  <si>
    <t>L-512</t>
  </si>
  <si>
    <t>Viladecans (costat est de l'accés)</t>
  </si>
  <si>
    <t>GI-600, Tordera (rotonda)</t>
  </si>
  <si>
    <t>C-31, Vilanova i la Geltrú (rotonda costat mar inclosa)</t>
  </si>
  <si>
    <t>C-32 / C-15z, Vilanova i la Geltrú (rotonda no inclosa)</t>
  </si>
  <si>
    <t>C-32 / C-15z, Vilanova i la Geltrú (rotonda inclosa)</t>
  </si>
  <si>
    <t xml:space="preserve">C-32, Castelldefels </t>
  </si>
  <si>
    <t xml:space="preserve">C-65, Santa Cristina d'Aro </t>
  </si>
  <si>
    <t>Castell - Platja d'Aro (antiga GI-662)</t>
  </si>
  <si>
    <t>C-13z, Vilanova de la Barca (rotonda)</t>
  </si>
  <si>
    <t>Termens (rotonda vial Bellvís)</t>
  </si>
  <si>
    <t>Enllaç T-11, Reus</t>
  </si>
  <si>
    <t>Servei territorial de les Terres de l'Ebre</t>
  </si>
  <si>
    <t>C-33 / C-58, Barcelona</t>
  </si>
  <si>
    <t>C-31c, ramal a diferent nivell</t>
  </si>
  <si>
    <t>final traçat antic</t>
  </si>
  <si>
    <t>Vilafranca del Penedès, final tram urbà (carrer Camí d'en Morató)</t>
  </si>
  <si>
    <t>C-241c,  PK 0+000, Igualada (rotonda)</t>
  </si>
  <si>
    <t>BV-2243, Piera (rotonda), inici variant</t>
  </si>
  <si>
    <t>C-62, Sant Bartomeu del Grau</t>
  </si>
  <si>
    <t>B-111 /  B-110, el Bruc</t>
  </si>
  <si>
    <t>BP-1101, el Bruc (Can Maçana)</t>
  </si>
  <si>
    <t>N-150, Terrassa (rotonda elíptica)</t>
  </si>
  <si>
    <t xml:space="preserve">C-352, Granollers nord </t>
  </si>
  <si>
    <t>C-535, Begues (rotonda accès Rectoriat)</t>
  </si>
  <si>
    <t>BV-4132z</t>
  </si>
  <si>
    <t>C-16 / BV-1432, Gironella (rotonda oest)</t>
  </si>
  <si>
    <t>C-16, Gironella (rotonda est)</t>
  </si>
  <si>
    <t>Manresa, vial d'enllaç des de C-55</t>
  </si>
  <si>
    <t>GI-520/B-520, Viladrau</t>
  </si>
  <si>
    <t>C-16z, Sallent (sota C-16, continuació)</t>
  </si>
  <si>
    <t>C-16z, Balsareny (sota C-16, rotonda)</t>
  </si>
  <si>
    <t>C-16/ C-16z, Balsareny (rotonda)</t>
  </si>
  <si>
    <t>C-16/C-1411z, Balsareny (rotonda)</t>
  </si>
  <si>
    <t>Límit terme municipal Balsareny - Navàs</t>
  </si>
  <si>
    <t>C-16z, Gironella (Viladomiu Vell)</t>
  </si>
  <si>
    <t>C-16,Gironella (antiga C-1411)</t>
  </si>
  <si>
    <t>C-16/C-16z,Gironella (l'Ametlla de Casserres, rotonda)</t>
  </si>
  <si>
    <t>C-16/C-16z, Berga (rotonda Cal Capblanc)</t>
  </si>
  <si>
    <t>C-1411zr, Berga (rotonda Hospital)</t>
  </si>
  <si>
    <t>C-16, Cercs (pont del Far)</t>
  </si>
  <si>
    <t>C-16, la Nou de Berguedà (boca nord tunel de la Nou)</t>
  </si>
  <si>
    <t>C-16, Guardiola de Berguedà (boca sud Túnel del Castell)</t>
  </si>
  <si>
    <t>C-16, Guardiola de Berguedà  (boca nord Túnel del Castell)</t>
  </si>
  <si>
    <t>B-124 Castellar del Vallès (discontinuitat, solapament B-124)</t>
  </si>
  <si>
    <t>Castellar del Vallès (final cessió Ajuntament)</t>
  </si>
  <si>
    <t>B-510, Argentona (rotonda)</t>
  </si>
  <si>
    <t>B-40z, La Roca del Vallès (rotonda)</t>
  </si>
  <si>
    <t>B-40z  La Roca del Vallès (rotonda)</t>
  </si>
  <si>
    <t>BV-5159, La Roca del Vallès (rotonda)</t>
  </si>
  <si>
    <t>B-433, Sant Bartomeu del Grau</t>
  </si>
  <si>
    <t>C-62, Lluçà</t>
  </si>
  <si>
    <t>Terme municipal Olvan - Gironella</t>
  </si>
  <si>
    <t>C-15, Vilafranca del Penedès (rotonda)</t>
  </si>
  <si>
    <t>C-244, Vilafranca (Avda Pelegrina)</t>
  </si>
  <si>
    <t>C-15, La Granada (rotondes enllaç)</t>
  </si>
  <si>
    <t>B-222, PK 1.292, i la C-241f, PK 2.950  (rotonda)</t>
  </si>
  <si>
    <t>C-15, La Granada (rotonda diferent nivell)</t>
  </si>
  <si>
    <t>C-244/C-15z, Vilafranca delPenedès</t>
  </si>
  <si>
    <t>Gavà (límit terme municipal de Castelldefels)</t>
  </si>
  <si>
    <t xml:space="preserve"> Viladecans (Límit terme municipal Sant Boi de Llobregat)</t>
  </si>
  <si>
    <t>C-32, Sant Boi de Llobregat (rotonda d'enllaç, final cessió)</t>
  </si>
  <si>
    <t>Límit comarcal el Baix Llobregat - el Garraf</t>
  </si>
  <si>
    <t>Sitges (Les Botigues, c/ Morro Curt)</t>
  </si>
  <si>
    <t>C-31/C-33, Sitges (Les Botigues, inici calçada conjunta)</t>
  </si>
  <si>
    <t>Terme Municipal Granollers - Les Franqueses</t>
  </si>
  <si>
    <t>C-352, Les Franqueses del Vallès (rotonda)</t>
  </si>
  <si>
    <t>Terme Municipal Cardedeu - Llinars</t>
  </si>
  <si>
    <t>Canvi comarcal Osona -La Garrotxa</t>
  </si>
  <si>
    <t xml:space="preserve">C-17/C-33/C-58, Barcelona </t>
  </si>
  <si>
    <t>C-58 / C-58C, Sant Quirze del Vallès</t>
  </si>
  <si>
    <t>Pont sobre riera Seca (inici cessió Aj La Llagosta)</t>
  </si>
  <si>
    <t>BV-1410, Santa Perpètua de la Mogoda (rotonda, (final cessió Aj La Llagosta)</t>
  </si>
  <si>
    <t>N-II z</t>
  </si>
  <si>
    <t>C-63, La Cellera de Ter (pont del Pasteral)</t>
  </si>
  <si>
    <t xml:space="preserve">C-63, Amer </t>
  </si>
  <si>
    <t>C-63, Amer (accès a colònia FECSA)</t>
  </si>
  <si>
    <t>C-63, Amer (final accès a colònia FECSA)</t>
  </si>
  <si>
    <t>límit provincial Girona - Lleida</t>
  </si>
  <si>
    <t>N-IIa, Vilamalla (rotonda pont del Príncep)</t>
  </si>
  <si>
    <t>Cadaqués (ctra de Portlligat)</t>
  </si>
  <si>
    <t>GI-535, Bescanó</t>
  </si>
  <si>
    <t>N-240 / LL-11, Lleida (Rotonda polígon "El Segre")</t>
  </si>
  <si>
    <t>C-13z, Termens (rotonda vial Bellvís)</t>
  </si>
  <si>
    <t>C-13, Alcoletge (rotonda)</t>
  </si>
  <si>
    <t>C-13, Alcoletge (cooperativa agrícola)</t>
  </si>
  <si>
    <t>C-13, Vilanova de la Barca (rotonda)</t>
  </si>
  <si>
    <t>C-13, Termens (rotonda)</t>
  </si>
  <si>
    <t>C-13, Talarn (túnel de Feixans)</t>
  </si>
  <si>
    <t>C-13,  Talarn (túnel de Feixans)</t>
  </si>
  <si>
    <t>C-13/C-147, Salàs de Pallars</t>
  </si>
  <si>
    <t>C-14 / LV-5118, Peramola</t>
  </si>
  <si>
    <t>C-14 ,Peramola (intersecció, accés presa)</t>
  </si>
  <si>
    <t>Límit provincial Girona -Lleida</t>
  </si>
  <si>
    <t>C-26, enllaç C-14z Artesa de Segre</t>
  </si>
  <si>
    <t>C-1412bz, Isona</t>
  </si>
  <si>
    <t>C-55, Clariana de Cardener (el Reguer)</t>
  </si>
  <si>
    <t>C-55, Clariana de Cardener (Solana de clariana)</t>
  </si>
  <si>
    <t>C-55, Clariana de Cardener (La Flauta)</t>
  </si>
  <si>
    <t>C-55, Riner (Sta, Susanna)</t>
  </si>
  <si>
    <t>C-55, Riner (La Guàrdia)</t>
  </si>
  <si>
    <t>Cervera (L-311 pk 2,630)</t>
  </si>
  <si>
    <t>C-25 (marge esquerra)</t>
  </si>
  <si>
    <t>C-25 (marge dret)</t>
  </si>
  <si>
    <t>L-303, Cervera (Av d'Agramunt)</t>
  </si>
  <si>
    <t>Alcarràs (rotonda partida)</t>
  </si>
  <si>
    <t>C-53,  Bellcaire d'Urgell</t>
  </si>
  <si>
    <t>El Vilosell (final tram urbà)</t>
  </si>
  <si>
    <t>Mollerussa (Ronda de Ponent)</t>
  </si>
  <si>
    <t>TV-7044, la Riba</t>
  </si>
  <si>
    <t>Límit TM Montblanc-Vilaverd (Pont Francolí)</t>
  </si>
  <si>
    <t>Límit comarcal el Baix Penedès - El Garraf</t>
  </si>
  <si>
    <t>C-31BLE</t>
  </si>
  <si>
    <t>C-51, Valls (Bon Sol) (N-240)</t>
  </si>
  <si>
    <t>T-200 (N-240), Valls</t>
  </si>
  <si>
    <t xml:space="preserve">C-51LD/C-51LE, Albinyana                    </t>
  </si>
  <si>
    <t xml:space="preserve">C-51z, Albinyana (rotonda)   </t>
  </si>
  <si>
    <t>Albinyana (rotonda)</t>
  </si>
  <si>
    <t>Vilarodona (canvi traçat)</t>
  </si>
  <si>
    <t>Vila-rodona (canvi traçat)</t>
  </si>
  <si>
    <t>C-51z / TP-2002 / TP-2031, Alió (rotonda)</t>
  </si>
  <si>
    <t>C-51LD</t>
  </si>
  <si>
    <t xml:space="preserve">C-51, Albinyana                                    </t>
  </si>
  <si>
    <t xml:space="preserve">C-51, La Bisbal del Penedès                  </t>
  </si>
  <si>
    <t>C-51LE</t>
  </si>
  <si>
    <t xml:space="preserve">C-51 / TP-2045 / TV-2401, Rodonyà       </t>
  </si>
  <si>
    <t>C-51, Rodonyà (rotonda intersecció TV-2401 / TP-2045)</t>
  </si>
  <si>
    <t>C-51, Alió</t>
  </si>
  <si>
    <t>C-241z, Santa Coloma de Queralt</t>
  </si>
  <si>
    <t>N-420, Falset (AEC rotonda)</t>
  </si>
  <si>
    <t>Terme Municipal Falset-Marçà</t>
  </si>
  <si>
    <t>La Selva del Camp (Carrer El Vilar)</t>
  </si>
  <si>
    <t>La Selva del Camp (Rotonda intersecció T-3231 a Almoster)</t>
  </si>
  <si>
    <t>Total Servei Territorial de Tarragona</t>
  </si>
  <si>
    <t>TP-3317, Freginals (passat rotonda)</t>
  </si>
  <si>
    <t xml:space="preserve">T-330/ T-361, Prat de Comte </t>
  </si>
  <si>
    <t>antiga T-741,Riba-roja d'Ebre (líimit municipal amb Flix)</t>
  </si>
  <si>
    <t>Antiga T-304, Tivissa</t>
  </si>
  <si>
    <t>TV-3317</t>
  </si>
  <si>
    <t>T-331, Freginals</t>
  </si>
  <si>
    <t>Freginals (carrer de Sant Antoni)</t>
  </si>
  <si>
    <t>TV-3321a</t>
  </si>
  <si>
    <t>Alcanar (ronda Remei)</t>
  </si>
  <si>
    <t xml:space="preserve">TV-3321, rotonda circumval·lació </t>
  </si>
  <si>
    <t>Deltebre,</t>
  </si>
  <si>
    <t>Total Servei Territorial de les Terres de l'Ebre</t>
  </si>
  <si>
    <t>Saragossa - Mediterrani</t>
  </si>
  <si>
    <t>Font: Direcció General d'Infraestructures de Mobilitat Terrestre</t>
  </si>
  <si>
    <t>Xarxa de carreteres de Catalunya: tipus de via i amplada, 2000 - 2015</t>
  </si>
  <si>
    <t>Xarxa de carreteres de Barcelona: tipus de via i amplada, 2000 - 2015</t>
  </si>
  <si>
    <t>Xarxa de carreteres de Girona: tipus de via i amplada, 2000 - 2015</t>
  </si>
  <si>
    <t>Xarxa de carreteres de Lleida: tipus de via i amplada, 2000 - 2015</t>
  </si>
  <si>
    <t>Xarxa de carreteres de Tarragona: tipus de via i amplada, 2000 - 2015</t>
  </si>
  <si>
    <t>Catàleg de carreteres de la Generalitat de Catalunya, 2015</t>
  </si>
  <si>
    <t>Distribució de la xarxa viària a Catalunya segons titularitat, 2015</t>
  </si>
  <si>
    <t>Catàleg de les autopistes, autovies i carreteres de doble calçada de l'Estat a Catalunya, 2015</t>
  </si>
  <si>
    <t>Sabadell (calçada lateral abans Benzinera i Antiga BV-1248)</t>
  </si>
  <si>
    <t>C-16C / N-141a, Manresa (el Guix)</t>
  </si>
  <si>
    <t>C-1411a, Manresa (Sant Pau)</t>
  </si>
  <si>
    <t>autopistes de peatge</t>
  </si>
  <si>
    <t>carreteres de calçada única</t>
  </si>
  <si>
    <t>autopistes lliures, autovies i carreteres de doble calçada</t>
  </si>
  <si>
    <r>
      <t xml:space="preserve">2015 </t>
    </r>
    <r>
      <rPr>
        <b/>
        <vertAlign val="superscript"/>
        <sz val="9"/>
        <rFont val="Arial"/>
        <family val="2"/>
      </rPr>
      <t>(3)</t>
    </r>
  </si>
  <si>
    <t>A partir de l'any 2015 les carreteres de doble calçada pasen a denominar-se carreteres "multicarril" (Llei 37/2015, de 29 de setembre, de carreteres)</t>
  </si>
  <si>
    <t>Accés a Barcelona centre. Av. Diagonal</t>
  </si>
  <si>
    <t>Autovia del Nord-est</t>
  </si>
  <si>
    <t>Autovia de la Ribagorça (Lleida/ Sopeira)</t>
  </si>
  <si>
    <t>Autovia del camí català (Lleida- Osca)</t>
  </si>
  <si>
    <t>Tarragona-Montblanc- Lleida</t>
  </si>
  <si>
    <t xml:space="preserve">5.1.8 Catàleg de les autopistes, autovies i carreteres multicarril de l'Estat </t>
  </si>
  <si>
    <t>Multicarril</t>
  </si>
  <si>
    <t>Total carreteres multicarril</t>
  </si>
  <si>
    <t>Vies multicarril</t>
  </si>
  <si>
    <t>Total vies multicarril</t>
  </si>
  <si>
    <t>(2) S'inclouen les autopistes lliures, autovies i preferents multicarril</t>
  </si>
  <si>
    <t xml:space="preserve">  -carreteres multicarril</t>
  </si>
  <si>
    <t>Limit comarcal el Moianès- el Bages</t>
  </si>
  <si>
    <t>Inici a rotondaa en concessió, enllaç C17 PK76+000 ME, Orís (can Branques)</t>
  </si>
  <si>
    <t>Rubí, antiga BP-1503 (rotonda C/ Edison i C/ Cervantes)</t>
  </si>
  <si>
    <t>B-432(PK 0) i C-154 (PK 19,730), Olost</t>
  </si>
  <si>
    <t>B-431 /B-432, Prats del Lluçanès</t>
  </si>
  <si>
    <t>C-15, Sant Miquel d'Olèrdola (rotonda enllaç doble)</t>
  </si>
  <si>
    <t>N-340, Vilafranca del Penedès (rotonda nord inclosa)</t>
  </si>
  <si>
    <t>C-221, Batea (ronda partida)</t>
  </si>
  <si>
    <t>C-16/BP-4654 Berga</t>
  </si>
  <si>
    <t>Òdena (final travessera)</t>
  </si>
  <si>
    <t>C-26, Ripoll</t>
  </si>
  <si>
    <t xml:space="preserve">C-65, Sant Feliu de Guíxols </t>
  </si>
  <si>
    <t>Girona (terme municipal)</t>
  </si>
  <si>
    <t>Calonge (carrer Empordà)</t>
  </si>
  <si>
    <t>GI-503z</t>
  </si>
  <si>
    <t>GI-503, Darnius (estrep est pont)</t>
  </si>
  <si>
    <t>GI-503, Darnius (estrep oest pont)</t>
  </si>
  <si>
    <t>C-150a, Cornellà del Terri</t>
  </si>
  <si>
    <t>Anglès (final travessera)</t>
  </si>
  <si>
    <t>Sant Hilari Sacalm (inici travessera)</t>
  </si>
  <si>
    <t>GI-550 i antiga GI-541, Sant Hilari Sacalm</t>
  </si>
  <si>
    <t>Santa Coloma de Farners (inici travessera)</t>
  </si>
  <si>
    <t>C-31, Calonge (rotonda nord)</t>
  </si>
  <si>
    <t>N-II, Peralada (rotonda)</t>
  </si>
  <si>
    <t>N-II Peralada</t>
  </si>
  <si>
    <t>L'Armentera (ronda d'Empúries)</t>
  </si>
  <si>
    <t>C51LD</t>
  </si>
  <si>
    <t>C-51 Albinyana</t>
  </si>
  <si>
    <t>Catàleg de carreteres de la Generalitat de Catalunya, 2016</t>
  </si>
  <si>
    <t>Distribució de la xarxa viària a Catalunya segons titularitat, 2016</t>
  </si>
  <si>
    <t>Catàleg de les autopistes, autovies i carreteres de doble calçada de l'Estat a Catalunya, 2016</t>
  </si>
  <si>
    <t>5.1.1 Xarxa de carreteres de Catalunya: tipus de via i amplada, 2000 - 2016</t>
  </si>
  <si>
    <t>5.1.2 Xarxa de carreteres de Barcelona: tipus de via i amplada, 2001 - 2016</t>
  </si>
  <si>
    <t>Xarxa de carreteres de Catalunya: tipus de via i amplada, 2001 - 2016</t>
  </si>
  <si>
    <t>Xarxa de carreteres de Barcelona: tipus de via i amplada, 2001 - 2016</t>
  </si>
  <si>
    <t>Xarxa de carreteres de Girona: tipus de via i amplada, 2001 - 2016</t>
  </si>
  <si>
    <t>Xarxa de carreteres de Lleida: tipus de via i amplada, 2001 - 2016</t>
  </si>
  <si>
    <t>Xarxa de carreteres de Tarragona: tipus de via i amplada, 2001 - 2016</t>
  </si>
  <si>
    <t>5.1.3 Xarxa de carreteres de Girona: tipus de via i amplada, 2001 - 2016</t>
  </si>
  <si>
    <t>5.1.4 Xarxa de carreteres de Lleida: tipus de via i amplada, 2001 - 2016</t>
  </si>
  <si>
    <t>5.1.5 Xarxa de carreteres de Tarragona: tipus de via i amplada, 2001 - 2016</t>
  </si>
  <si>
    <t>a Catalunya, 2016</t>
  </si>
  <si>
    <t>a Catalunya, 2016 (continuació)</t>
  </si>
  <si>
    <t>Molins de Rei-   Int. AP-7N (pk 11,150- 15,490)</t>
  </si>
  <si>
    <t>LP Girona -Barcelona-   LP. Barcelona - Tarragona (92,600 - 207,270)</t>
  </si>
  <si>
    <t>LP Lleida - Barcelona-   Enl. B-20 / Int. B-10 (p.k. 530,680 - 610,690)</t>
  </si>
  <si>
    <t>Inici del tram cessió-    Enl. B-20 / Int. A-2 (p.k.12,290 - 20,190)</t>
  </si>
  <si>
    <t>Int. C-32-   Int. A-2 /B-10 (p.k. 0,000 - 3,000)</t>
  </si>
  <si>
    <t>Int. B-10/B-20-      Int. N-2 (p.k. 16,450 - 26,860)</t>
  </si>
  <si>
    <t xml:space="preserve">P.k. 0-     Int. C-32 B Aeroport T-2 </t>
  </si>
  <si>
    <t>Int. C-31-    Aeroport T-1</t>
  </si>
  <si>
    <t>P.k. 0 Barcelona-     Molins de Rei</t>
  </si>
  <si>
    <t>Inici del tram tall obres-      Int. A-2 (p.k. 4,190 - 10,780)</t>
  </si>
  <si>
    <t>Int. AP-7N-        Int. AP-7N (p.k. 0,0 - 11,430)</t>
  </si>
  <si>
    <t>Abrera-       Olesa de Montserrat (p.k. 0,000-2,100)</t>
  </si>
  <si>
    <t>Viladecavalls-      Terrassa (p.k. 8,000-12,882)</t>
  </si>
  <si>
    <t xml:space="preserve">A2 i connexió AP7-         Martorell </t>
  </si>
  <si>
    <t>A2 i connexió AP7</t>
  </si>
  <si>
    <t>Inici multicarril-         Enl. B-23 (p.k.1242,690 - 1243,710)</t>
  </si>
  <si>
    <t>Frontera França-           LP. Girona - Barcelona (p.k. 0,0 - 92,600)</t>
  </si>
  <si>
    <t>Sils-Int C-63 o Sils-Vidreres-       Fornells de la Selva (Variant Girona)</t>
  </si>
  <si>
    <t>N-260/ C-66, Besalú-       N-260, Olot</t>
  </si>
  <si>
    <t xml:space="preserve">Enl. A-2/C-25 Riudellots de la Selva-        fi multicarril </t>
  </si>
  <si>
    <t>Inici multicarril -          fi multicarril (p.k. 759,49 - 759,78)</t>
  </si>
  <si>
    <t>Inici multicarril-           fi multicarril (p.k. 772,48 - 774,21)</t>
  </si>
  <si>
    <t>Inici multicarril-           fi multicarril (p.k. 776,39 - 776,85)</t>
  </si>
  <si>
    <t>Figueres. Inici multicarril -           Int. N-260. Figueres  (p.k. 4,470 - 4,840)</t>
  </si>
  <si>
    <t>Girona. Inici multicarril-        fi multicarril (p.k. 718,360 - 721,350)</t>
  </si>
  <si>
    <t xml:space="preserve">LP Huesca-Lleida-             LP. Lleida-Tarragona (p.k.120,550 - 181,110) </t>
  </si>
  <si>
    <t>Rosselló-        Almenar (p.k. 6,000-16,300)</t>
  </si>
  <si>
    <t>LP Huesca - Lleida-             L.P. Lleida - Barcelona (p.k. 443,758 - 530,680)</t>
  </si>
  <si>
    <t>Lleida-            L.P. Huesca (p.k. 0,0 - 19,150)</t>
  </si>
  <si>
    <t>Accés AP-12-                 Int. LL-11 (p.k. 0,0 - 5,670)</t>
  </si>
  <si>
    <t>Int. A-2-           Enl. N-240. Lleida (p.k.0,0 - 7,950)</t>
  </si>
  <si>
    <t>Int. N-240A-                 Int. C-13. Enl. LL-11 (p.k. 87,850 - 89,420)</t>
  </si>
  <si>
    <t>Int. N-240. Almacelles-           fi multicarril (p.k. 111,980 - 112,920)</t>
  </si>
  <si>
    <t xml:space="preserve">LP Lleida - Tarragona-              Int. AP-7N </t>
  </si>
  <si>
    <t>LP Barcelona - Tarragona-           LP. Tarragona - Castelló (p.k. 207,270 - 344,980)</t>
  </si>
  <si>
    <t>Port de Tarragona-           Enllaç A-27  N-240 (Masmolets) (pk. 0,0 - 23,191)</t>
  </si>
  <si>
    <t>Vandellòs-             Enllaç urbanització La Mora (p.k.1122,207 - 1171,250)</t>
  </si>
  <si>
    <t>Fin N-420-         Enllaç amb A-7   N-340 a Les Gavarres (p.k. 0,000 - 15,220)</t>
  </si>
  <si>
    <t>Inici multicarril-           fi multicarril (p.k.35,28 - 36,42)</t>
  </si>
  <si>
    <t>Rot. Av. Catalunya-     Inici solapament amb C-37 (p.k.0,406 - 18,150)</t>
  </si>
  <si>
    <t>Inici multicarril-          fi multicarril (p.k.1079,80 - 1083,89)</t>
  </si>
  <si>
    <t>Rot. amb T-11 i N-340a-         Plaça Imperial Tarraco(p.k. 1160,650 - 1161,590)</t>
  </si>
  <si>
    <t>N-420</t>
  </si>
  <si>
    <t>Continuació C-14-        Enllaç T-11 Bellisens (p.k. 878,670 - 879,520)</t>
  </si>
  <si>
    <t>Enllaç amb A-7 /N340 a  les Gavarres-    Rotonda pont riu Francolí  (p.k. 15,220 - 18,290)</t>
  </si>
  <si>
    <t>(3) Dades de La Gomera, La Palma i El Hierro d'anys anteriors perquè no han facilitat la informació de l'any 2016. Per la Diputació foral també s'han comptabilitzat les dades de 2015</t>
  </si>
  <si>
    <t>5.1.7 Distribució de la xarxa viària a Catalunya segons titularitat, 2016</t>
  </si>
  <si>
    <t>5.1.6 Catàleg de carreteres de Catalunya, 2016</t>
  </si>
  <si>
    <t>Barcelona (Via Augusta)</t>
  </si>
  <si>
    <t>AP-7 (Intersecció, final TABASA inici AUTEMA)</t>
  </si>
  <si>
    <t>Terrassa (Inici concessió)</t>
  </si>
  <si>
    <t>Límit terme municipal Sant Sadurní d'Osormort- Espinelves</t>
  </si>
  <si>
    <t>Castell- Platja d'Aro (antiga GI-662)</t>
  </si>
  <si>
    <t>B-23, Esplugues de Llobregat</t>
  </si>
  <si>
    <t xml:space="preserve">N-235/AP-7, L'Aldea </t>
  </si>
  <si>
    <t>Tortosa (Sta. Càndida, rotonda)</t>
  </si>
  <si>
    <t>C-16C/N-141a, Manresa (el Guix)</t>
  </si>
  <si>
    <t>B-250b</t>
  </si>
  <si>
    <t>B-250/B-250a, El Prat de Llobregat (rotonda)</t>
  </si>
  <si>
    <t>El Prat de Llobregat (Pol. Pratense, rotonda inclosa)</t>
  </si>
  <si>
    <t>C-31C</t>
  </si>
  <si>
    <t>A-2, Montmaneu (rotonda a diferent nivell)</t>
  </si>
  <si>
    <t>B-142, Santa Perpètua (Can Vinyalet, rotonda)</t>
  </si>
  <si>
    <t>Polinyà (rotonda travessera residencial, inclosa)</t>
  </si>
  <si>
    <t>Badalona (Antiga N-II, carrer de Germà Juli)</t>
  </si>
  <si>
    <t>Cerdanyola (rotonda Parc Tecnològic)</t>
  </si>
  <si>
    <t>Límit TM Cerdanyola</t>
  </si>
  <si>
    <t>BV-4501</t>
  </si>
  <si>
    <t>Lleida (Pardinyes, rotonda antiga LV-9224)</t>
  </si>
  <si>
    <t>Sabadell ( c/ Bocaccio)</t>
  </si>
  <si>
    <t>C-153, la Vall d'en Bas (Bas)</t>
  </si>
  <si>
    <t>C-152, la Vall d'en Bas (Bas)</t>
  </si>
  <si>
    <t>C-17, Balenyà (Plana de Balenyà)</t>
  </si>
  <si>
    <t>C-17, Tona (enllaç Tona centre)</t>
  </si>
  <si>
    <t>C-17LE</t>
  </si>
  <si>
    <t>C-245, Gavà (final estructura sobre C-245)</t>
  </si>
  <si>
    <t>Sant Sadurní d'Anoia (final travessera)</t>
  </si>
  <si>
    <t>C-35 (rotonda diferent nivell PK 49), Llinars del Vallès</t>
  </si>
  <si>
    <t>C-251z</t>
  </si>
  <si>
    <t>C-251, Llinars del Vallès</t>
  </si>
  <si>
    <t>Llinars del Vallès</t>
  </si>
  <si>
    <t xml:space="preserve">C-25, Vic </t>
  </si>
  <si>
    <t>C-25z</t>
  </si>
  <si>
    <t>C-25, Vilobí d'Onyar</t>
  </si>
  <si>
    <t>AP7/N-156, Riudellots de la Selva (rotonda)</t>
  </si>
  <si>
    <t>A-140, límit provincial Huesca - Lleida (coll de Foix)</t>
  </si>
  <si>
    <t>C-14, Alcover (rotonda diferent nivell)</t>
  </si>
  <si>
    <t>N-240/N-240aa, Valls (rotonda)</t>
  </si>
  <si>
    <t>C-37, Valls (rotonda)</t>
  </si>
  <si>
    <t>N-420aa, Valls</t>
  </si>
  <si>
    <t>BV-2041, Begues, (rotonda)</t>
  </si>
  <si>
    <t>BV-2411, Begues, (rotonda)</t>
  </si>
  <si>
    <t>C-33, La Llagosta</t>
  </si>
  <si>
    <t>N-152a, Mollet del Vallès (pont FFCC)</t>
  </si>
  <si>
    <t>C-253a, Llagostera (inici carril central de gir)</t>
  </si>
  <si>
    <t>Tarroja de Segarra (nucli urbà)</t>
  </si>
  <si>
    <t>L-311, Tarroja de Segarra (accés al Llor)</t>
  </si>
  <si>
    <t>Límit provincial Lleida - Huesca</t>
  </si>
  <si>
    <t>L-201, Belianes</t>
  </si>
  <si>
    <t>Menàrguens, antiga LP-9224a</t>
  </si>
  <si>
    <t>Antiga N-152, Orís (El Bajalou)</t>
  </si>
  <si>
    <t>C-17, Orís (enllaç Saderra)</t>
  </si>
  <si>
    <t>Montmaneu (Incorporació des d'A-2)</t>
  </si>
  <si>
    <t>B-100/ B-221, Montmaneu (rotonda)</t>
  </si>
  <si>
    <t>B-100 / B-221, Montmaneu (rotonda)</t>
  </si>
  <si>
    <t>Montmaneu (final 3r carril pujada)</t>
  </si>
  <si>
    <t>A-2, Jorba (desdoblament)</t>
  </si>
  <si>
    <t>Sant Adrià de Besòs, c\ Bogatell (inici cessió Ajuntament)</t>
  </si>
  <si>
    <t>TP-2125, Banyeres del Penedès (rotonda)</t>
  </si>
  <si>
    <t>Deltebre (rotonda Lo Gaya)</t>
  </si>
  <si>
    <t>A-27, Tarragona (rotonda Pol. Ind. Riu Clar)</t>
  </si>
  <si>
    <t>Reus (T-11)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</si>
</sst>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General_)"/>
    <numFmt numFmtId="195" formatCode="#,##0_);\(#,##0\)"/>
    <numFmt numFmtId="196" formatCode="0_)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#,##0.0_ ;\-#,##0.0\ "/>
    <numFmt numFmtId="200" formatCode="#,##0.0"/>
    <numFmt numFmtId="201" formatCode="0.0"/>
    <numFmt numFmtId="202" formatCode="0.000"/>
    <numFmt numFmtId="203" formatCode="#,##0.000"/>
    <numFmt numFmtId="204" formatCode="#,##0.0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mmmm\ d\,\ yyyy"/>
    <numFmt numFmtId="214" formatCode="0.0%"/>
    <numFmt numFmtId="215" formatCode="d\ &quot;de&quot;\ mmmm\ &quot;de&quot;\ yyyy"/>
    <numFmt numFmtId="216" formatCode="0000"/>
    <numFmt numFmtId="217" formatCode="#\ ###\ ###.0;;\-"/>
    <numFmt numFmtId="218" formatCode="0.0000"/>
    <numFmt numFmtId="219" formatCode="0.00000"/>
    <numFmt numFmtId="220" formatCode="#,##0.00000"/>
    <numFmt numFmtId="221" formatCode="&quot;Sí&quot;;&quot;Sí&quot;;&quot;No&quot;"/>
    <numFmt numFmtId="222" formatCode="&quot;Cert&quot;;&quot;Cert&quot;;&quot;Fals&quot;"/>
    <numFmt numFmtId="223" formatCode="&quot;Activat&quot;;&quot;Activat&quot;;&quot;Desactivat&quot;"/>
    <numFmt numFmtId="224" formatCode="[$€-2]\ #.##000_);[Red]\([$€-2]\ #.##000\)"/>
  </numFmts>
  <fonts count="69">
    <font>
      <sz val="12"/>
      <name val="Arial"/>
      <family val="0"/>
    </font>
    <font>
      <b/>
      <sz val="11"/>
      <color indexed="4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color indexed="53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7"/>
      <color indexed="54"/>
      <name val="Verdana"/>
      <family val="2"/>
    </font>
    <font>
      <b/>
      <sz val="22"/>
      <color indexed="10"/>
      <name val="Arial"/>
      <family val="2"/>
    </font>
    <font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17"/>
      <color rgb="FF5886AB"/>
      <name val="Verdana"/>
      <family val="2"/>
    </font>
    <font>
      <sz val="9"/>
      <color rgb="FFFF0000"/>
      <name val="Arial"/>
      <family val="2"/>
    </font>
    <font>
      <b/>
      <sz val="22"/>
      <color rgb="FFFF0000"/>
      <name val="Arial"/>
      <family val="2"/>
    </font>
    <font>
      <sz val="9"/>
      <color theme="4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187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456">
    <xf numFmtId="0" fontId="0" fillId="0" borderId="0" xfId="0" applyAlignment="1">
      <alignment/>
    </xf>
    <xf numFmtId="0" fontId="4" fillId="0" borderId="0" xfId="56" applyFont="1" applyAlignment="1" applyProtection="1" quotePrefix="1">
      <alignment horizontal="left"/>
      <protection locked="0"/>
    </xf>
    <xf numFmtId="3" fontId="2" fillId="0" borderId="0" xfId="56" applyNumberFormat="1" applyFont="1" applyProtection="1">
      <alignment/>
      <protection locked="0"/>
    </xf>
    <xf numFmtId="3" fontId="2" fillId="0" borderId="0" xfId="56" applyNumberFormat="1" applyFont="1" applyProtection="1">
      <alignment/>
      <protection/>
    </xf>
    <xf numFmtId="0" fontId="2" fillId="0" borderId="0" xfId="56" applyFont="1">
      <alignment/>
      <protection/>
    </xf>
    <xf numFmtId="194" fontId="2" fillId="0" borderId="0" xfId="56" applyNumberFormat="1" applyFont="1" applyBorder="1" applyAlignment="1" applyProtection="1">
      <alignment horizontal="left"/>
      <protection locked="0"/>
    </xf>
    <xf numFmtId="3" fontId="2" fillId="0" borderId="0" xfId="56" applyNumberFormat="1" applyFont="1" applyBorder="1" applyProtection="1">
      <alignment/>
      <protection locked="0"/>
    </xf>
    <xf numFmtId="3" fontId="2" fillId="0" borderId="0" xfId="56" applyNumberFormat="1" applyFont="1" applyBorder="1" applyProtection="1">
      <alignment/>
      <protection/>
    </xf>
    <xf numFmtId="0" fontId="2" fillId="0" borderId="0" xfId="56" applyFont="1" applyBorder="1">
      <alignment/>
      <protection/>
    </xf>
    <xf numFmtId="0" fontId="5" fillId="0" borderId="0" xfId="56" applyFont="1" applyBorder="1">
      <alignment/>
      <protection/>
    </xf>
    <xf numFmtId="0" fontId="5" fillId="0" borderId="0" xfId="56" applyFont="1">
      <alignment/>
      <protection/>
    </xf>
    <xf numFmtId="3" fontId="5" fillId="0" borderId="0" xfId="56" applyNumberFormat="1" applyFont="1">
      <alignment/>
      <protection/>
    </xf>
    <xf numFmtId="0" fontId="3" fillId="0" borderId="0" xfId="56">
      <alignment/>
      <protection/>
    </xf>
    <xf numFmtId="3" fontId="5" fillId="0" borderId="0" xfId="56" applyNumberFormat="1" applyFont="1" applyAlignment="1" applyProtection="1">
      <alignment horizontal="right"/>
      <protection/>
    </xf>
    <xf numFmtId="0" fontId="5" fillId="0" borderId="0" xfId="56" applyFont="1" applyAlignment="1">
      <alignment/>
      <protection/>
    </xf>
    <xf numFmtId="0" fontId="2" fillId="0" borderId="0" xfId="56" applyFont="1" applyProtection="1">
      <alignment/>
      <protection locked="0"/>
    </xf>
    <xf numFmtId="3" fontId="5" fillId="0" borderId="0" xfId="56" applyNumberFormat="1" applyFont="1" applyProtection="1">
      <alignment/>
      <protection locked="0"/>
    </xf>
    <xf numFmtId="3" fontId="5" fillId="0" borderId="0" xfId="56" applyNumberFormat="1" applyFont="1">
      <alignment/>
      <protection/>
    </xf>
    <xf numFmtId="194" fontId="5" fillId="0" borderId="0" xfId="56" applyNumberFormat="1" applyFont="1" applyAlignment="1" applyProtection="1">
      <alignment horizontal="left"/>
      <protection locked="0"/>
    </xf>
    <xf numFmtId="3" fontId="5" fillId="0" borderId="0" xfId="56" applyNumberFormat="1" applyFont="1" applyProtection="1">
      <alignment/>
      <protection/>
    </xf>
    <xf numFmtId="194" fontId="2" fillId="0" borderId="0" xfId="56" applyNumberFormat="1" applyFont="1" applyAlignment="1" applyProtection="1">
      <alignment horizontal="left"/>
      <protection locked="0"/>
    </xf>
    <xf numFmtId="3" fontId="2" fillId="0" borderId="0" xfId="56" applyNumberFormat="1" applyFont="1">
      <alignment/>
      <protection/>
    </xf>
    <xf numFmtId="194" fontId="6" fillId="0" borderId="0" xfId="56" applyNumberFormat="1" applyFont="1" applyAlignment="1" applyProtection="1">
      <alignment horizontal="left"/>
      <protection locked="0"/>
    </xf>
    <xf numFmtId="3" fontId="6" fillId="0" borderId="0" xfId="56" applyNumberFormat="1" applyFont="1" applyProtection="1">
      <alignment/>
      <protection locked="0"/>
    </xf>
    <xf numFmtId="3" fontId="6" fillId="0" borderId="0" xfId="56" applyNumberFormat="1" applyFont="1" applyProtection="1">
      <alignment/>
      <protection/>
    </xf>
    <xf numFmtId="3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3" fontId="6" fillId="0" borderId="0" xfId="56" applyNumberFormat="1" applyFont="1" applyAlignment="1" applyProtection="1" quotePrefix="1">
      <alignment horizontal="right"/>
      <protection/>
    </xf>
    <xf numFmtId="3" fontId="2" fillId="0" borderId="0" xfId="56" applyNumberFormat="1" applyFont="1" applyAlignment="1" applyProtection="1">
      <alignment horizontal="right"/>
      <protection locked="0"/>
    </xf>
    <xf numFmtId="3" fontId="2" fillId="0" borderId="0" xfId="56" applyNumberFormat="1" applyFont="1" applyAlignment="1" applyProtection="1">
      <alignment horizontal="right"/>
      <protection/>
    </xf>
    <xf numFmtId="194" fontId="6" fillId="0" borderId="0" xfId="56" applyNumberFormat="1" applyFont="1" applyBorder="1" applyAlignment="1" applyProtection="1">
      <alignment horizontal="left"/>
      <protection locked="0"/>
    </xf>
    <xf numFmtId="194" fontId="2" fillId="0" borderId="10" xfId="56" applyNumberFormat="1" applyFont="1" applyBorder="1" applyAlignment="1" applyProtection="1">
      <alignment horizontal="left"/>
      <protection locked="0"/>
    </xf>
    <xf numFmtId="3" fontId="2" fillId="0" borderId="10" xfId="56" applyNumberFormat="1" applyFont="1" applyBorder="1" applyProtection="1">
      <alignment/>
      <protection locked="0"/>
    </xf>
    <xf numFmtId="3" fontId="2" fillId="0" borderId="10" xfId="56" applyNumberFormat="1" applyFont="1" applyBorder="1" applyProtection="1">
      <alignment/>
      <protection/>
    </xf>
    <xf numFmtId="3" fontId="2" fillId="0" borderId="10" xfId="56" applyNumberFormat="1" applyFont="1" applyBorder="1">
      <alignment/>
      <protection/>
    </xf>
    <xf numFmtId="0" fontId="2" fillId="0" borderId="10" xfId="56" applyFont="1" applyBorder="1">
      <alignment/>
      <protection/>
    </xf>
    <xf numFmtId="3" fontId="2" fillId="0" borderId="0" xfId="56" applyNumberFormat="1" applyFont="1" applyBorder="1">
      <alignment/>
      <protection/>
    </xf>
    <xf numFmtId="3" fontId="2" fillId="0" borderId="0" xfId="56" applyNumberFormat="1" applyFont="1" applyAlignment="1" quotePrefix="1">
      <alignment horizontal="right"/>
      <protection/>
    </xf>
    <xf numFmtId="0" fontId="5" fillId="0" borderId="0" xfId="56" applyFont="1" applyProtection="1">
      <alignment/>
      <protection locked="0"/>
    </xf>
    <xf numFmtId="3" fontId="5" fillId="0" borderId="0" xfId="56" applyNumberFormat="1" applyFont="1" applyAlignment="1">
      <alignment horizontal="right"/>
      <protection/>
    </xf>
    <xf numFmtId="3" fontId="6" fillId="0" borderId="0" xfId="56" applyNumberFormat="1" applyFont="1" applyAlignment="1" applyProtection="1">
      <alignment horizontal="right"/>
      <protection locked="0"/>
    </xf>
    <xf numFmtId="3" fontId="6" fillId="0" borderId="0" xfId="56" applyNumberFormat="1" applyFont="1" applyAlignment="1" applyProtection="1">
      <alignment horizontal="right"/>
      <protection/>
    </xf>
    <xf numFmtId="3" fontId="2" fillId="0" borderId="0" xfId="56" applyNumberFormat="1" applyFont="1" applyAlignment="1" applyProtection="1">
      <alignment horizontal="left"/>
      <protection locked="0"/>
    </xf>
    <xf numFmtId="3" fontId="2" fillId="0" borderId="0" xfId="56" applyNumberFormat="1" applyFont="1" applyAlignment="1" applyProtection="1" quotePrefix="1">
      <alignment horizontal="right"/>
      <protection/>
    </xf>
    <xf numFmtId="0" fontId="5" fillId="0" borderId="0" xfId="56" applyFont="1">
      <alignment/>
      <protection/>
    </xf>
    <xf numFmtId="0" fontId="7" fillId="0" borderId="0" xfId="56" applyFont="1">
      <alignment/>
      <protection/>
    </xf>
    <xf numFmtId="194" fontId="5" fillId="0" borderId="10" xfId="56" applyNumberFormat="1" applyFont="1" applyBorder="1" applyAlignment="1" applyProtection="1">
      <alignment horizontal="left"/>
      <protection locked="0"/>
    </xf>
    <xf numFmtId="3" fontId="5" fillId="0" borderId="10" xfId="56" applyNumberFormat="1" applyFont="1" applyBorder="1" applyProtection="1">
      <alignment/>
      <protection locked="0"/>
    </xf>
    <xf numFmtId="3" fontId="5" fillId="0" borderId="10" xfId="56" applyNumberFormat="1" applyFont="1" applyBorder="1" applyProtection="1">
      <alignment/>
      <protection/>
    </xf>
    <xf numFmtId="3" fontId="5" fillId="0" borderId="10" xfId="56" applyNumberFormat="1" applyFont="1" applyBorder="1">
      <alignment/>
      <protection/>
    </xf>
    <xf numFmtId="194" fontId="5" fillId="0" borderId="0" xfId="56" applyNumberFormat="1" applyFont="1" applyBorder="1" applyAlignment="1" applyProtection="1">
      <alignment horizontal="left"/>
      <protection locked="0"/>
    </xf>
    <xf numFmtId="3" fontId="5" fillId="0" borderId="0" xfId="56" applyNumberFormat="1" applyFont="1" applyBorder="1" applyProtection="1">
      <alignment/>
      <protection locked="0"/>
    </xf>
    <xf numFmtId="3" fontId="5" fillId="0" borderId="0" xfId="56" applyNumberFormat="1" applyFont="1" applyBorder="1" applyProtection="1">
      <alignment/>
      <protection/>
    </xf>
    <xf numFmtId="3" fontId="2" fillId="0" borderId="0" xfId="56" applyNumberFormat="1" applyFont="1" applyAlignment="1" applyProtection="1" quotePrefix="1">
      <alignment horizontal="right"/>
      <protection locked="0"/>
    </xf>
    <xf numFmtId="3" fontId="6" fillId="0" borderId="0" xfId="56" applyNumberFormat="1" applyFont="1" applyProtection="1" quotePrefix="1">
      <alignment/>
      <protection/>
    </xf>
    <xf numFmtId="194" fontId="2" fillId="0" borderId="10" xfId="56" applyNumberFormat="1" applyFont="1" applyBorder="1" applyProtection="1">
      <alignment/>
      <protection locked="0"/>
    </xf>
    <xf numFmtId="3" fontId="5" fillId="0" borderId="0" xfId="56" applyNumberFormat="1" applyFont="1" applyBorder="1">
      <alignment/>
      <protection/>
    </xf>
    <xf numFmtId="3" fontId="5" fillId="0" borderId="0" xfId="56" applyNumberFormat="1" applyFont="1" applyProtection="1">
      <alignment/>
      <protection/>
    </xf>
    <xf numFmtId="1" fontId="2" fillId="0" borderId="0" xfId="56" applyNumberFormat="1" applyFont="1">
      <alignment/>
      <protection/>
    </xf>
    <xf numFmtId="1" fontId="2" fillId="0" borderId="0" xfId="56" applyNumberFormat="1" applyFont="1" applyBorder="1">
      <alignment/>
      <protection/>
    </xf>
    <xf numFmtId="1" fontId="5" fillId="0" borderId="0" xfId="56" applyNumberFormat="1" applyFont="1" applyBorder="1">
      <alignment/>
      <protection/>
    </xf>
    <xf numFmtId="1" fontId="5" fillId="0" borderId="0" xfId="56" applyNumberFormat="1" applyFont="1">
      <alignment/>
      <protection/>
    </xf>
    <xf numFmtId="1" fontId="6" fillId="0" borderId="0" xfId="56" applyNumberFormat="1" applyFont="1">
      <alignment/>
      <protection/>
    </xf>
    <xf numFmtId="1" fontId="5" fillId="0" borderId="0" xfId="56" applyNumberFormat="1" applyFont="1">
      <alignment/>
      <protection/>
    </xf>
    <xf numFmtId="1" fontId="6" fillId="0" borderId="0" xfId="56" applyNumberFormat="1" applyFont="1">
      <alignment/>
      <protection/>
    </xf>
    <xf numFmtId="1" fontId="2" fillId="0" borderId="10" xfId="56" applyNumberFormat="1" applyFont="1" applyBorder="1">
      <alignment/>
      <protection/>
    </xf>
    <xf numFmtId="1" fontId="5" fillId="0" borderId="10" xfId="56" applyNumberFormat="1" applyFont="1" applyBorder="1">
      <alignment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>
      <alignment/>
    </xf>
    <xf numFmtId="1" fontId="5" fillId="0" borderId="0" xfId="56" applyNumberFormat="1" applyFont="1" applyAlignment="1">
      <alignment/>
      <protection/>
    </xf>
    <xf numFmtId="1" fontId="7" fillId="0" borderId="0" xfId="56" applyNumberFormat="1" applyFont="1">
      <alignment/>
      <protection/>
    </xf>
    <xf numFmtId="0" fontId="2" fillId="0" borderId="0" xfId="53" applyFont="1">
      <alignment/>
      <protection/>
    </xf>
    <xf numFmtId="3" fontId="5" fillId="0" borderId="0" xfId="56" applyNumberFormat="1" applyFont="1" applyAlignment="1">
      <alignment horizontal="right"/>
      <protection/>
    </xf>
    <xf numFmtId="3" fontId="5" fillId="0" borderId="0" xfId="56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194" fontId="6" fillId="0" borderId="0" xfId="56" applyNumberFormat="1" applyFont="1" applyAlignment="1" applyProtection="1">
      <alignment horizontal="left"/>
      <protection locked="0"/>
    </xf>
    <xf numFmtId="3" fontId="6" fillId="0" borderId="0" xfId="56" applyNumberFormat="1" applyFont="1" applyProtection="1">
      <alignment/>
      <protection locked="0"/>
    </xf>
    <xf numFmtId="3" fontId="6" fillId="0" borderId="0" xfId="56" applyNumberFormat="1" applyFont="1" applyAlignment="1" applyProtection="1" quotePrefix="1">
      <alignment horizontal="right"/>
      <protection/>
    </xf>
    <xf numFmtId="3" fontId="6" fillId="0" borderId="0" xfId="56" applyNumberFormat="1" applyFont="1" applyProtection="1">
      <alignment/>
      <protection/>
    </xf>
    <xf numFmtId="3" fontId="6" fillId="0" borderId="0" xfId="56" applyNumberFormat="1" applyFont="1">
      <alignment/>
      <protection/>
    </xf>
    <xf numFmtId="3" fontId="6" fillId="0" borderId="0" xfId="56" applyNumberFormat="1" applyFont="1" applyAlignment="1" applyProtection="1">
      <alignment horizontal="right"/>
      <protection locked="0"/>
    </xf>
    <xf numFmtId="3" fontId="6" fillId="0" borderId="0" xfId="56" applyNumberFormat="1" applyFont="1" applyAlignment="1" applyProtection="1">
      <alignment horizontal="right"/>
      <protection/>
    </xf>
    <xf numFmtId="0" fontId="6" fillId="0" borderId="0" xfId="56" applyFont="1">
      <alignment/>
      <protection/>
    </xf>
    <xf numFmtId="194" fontId="6" fillId="0" borderId="0" xfId="56" applyNumberFormat="1" applyFont="1" applyBorder="1" applyAlignment="1" applyProtection="1">
      <alignment horizontal="left"/>
      <protection locked="0"/>
    </xf>
    <xf numFmtId="0" fontId="4" fillId="0" borderId="0" xfId="56" applyFont="1" applyAlignment="1" applyProtection="1" quotePrefix="1">
      <alignment horizontal="left"/>
      <protection locked="0"/>
    </xf>
    <xf numFmtId="3" fontId="5" fillId="0" borderId="0" xfId="56" applyNumberFormat="1" applyFont="1" applyBorder="1" applyAlignment="1" applyProtection="1">
      <alignment horizontal="right"/>
      <protection/>
    </xf>
    <xf numFmtId="3" fontId="2" fillId="0" borderId="0" xfId="56" applyNumberFormat="1" applyFont="1" applyAlignment="1">
      <alignment/>
      <protection/>
    </xf>
    <xf numFmtId="1" fontId="5" fillId="0" borderId="0" xfId="56" applyNumberFormat="1" applyFont="1" applyAlignment="1" applyProtection="1">
      <alignment horizontal="right"/>
      <protection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200" fontId="2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5" fillId="0" borderId="0" xfId="56" applyNumberFormat="1" applyFont="1" applyAlignment="1" applyProtection="1">
      <alignment horizontal="right"/>
      <protection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10" xfId="56" applyNumberFormat="1" applyFont="1" applyBorder="1">
      <alignment/>
      <protection/>
    </xf>
    <xf numFmtId="1" fontId="2" fillId="0" borderId="10" xfId="0" applyNumberFormat="1" applyFont="1" applyBorder="1" applyAlignment="1">
      <alignment/>
    </xf>
    <xf numFmtId="3" fontId="6" fillId="0" borderId="0" xfId="56" applyNumberFormat="1" applyFont="1" applyBorder="1">
      <alignment/>
      <protection/>
    </xf>
    <xf numFmtId="3" fontId="6" fillId="0" borderId="0" xfId="56" applyNumberFormat="1" applyFont="1" applyBorder="1">
      <alignment/>
      <protection/>
    </xf>
    <xf numFmtId="3" fontId="6" fillId="0" borderId="0" xfId="56" applyNumberFormat="1" applyFont="1" applyBorder="1" applyAlignment="1">
      <alignment/>
      <protection/>
    </xf>
    <xf numFmtId="3" fontId="6" fillId="0" borderId="0" xfId="0" applyNumberFormat="1" applyFont="1" applyAlignment="1">
      <alignment horizontal="right"/>
    </xf>
    <xf numFmtId="3" fontId="6" fillId="0" borderId="0" xfId="56" applyNumberFormat="1" applyFont="1" applyBorder="1" applyAlignment="1">
      <alignment horizontal="right"/>
      <protection/>
    </xf>
    <xf numFmtId="0" fontId="11" fillId="0" borderId="0" xfId="56" applyFont="1">
      <alignment/>
      <protection/>
    </xf>
    <xf numFmtId="194" fontId="2" fillId="0" borderId="0" xfId="56" applyNumberFormat="1" applyFont="1" applyAlignment="1" applyProtection="1">
      <alignment horizontal="left"/>
      <protection locked="0"/>
    </xf>
    <xf numFmtId="3" fontId="2" fillId="0" borderId="0" xfId="56" applyNumberFormat="1" applyFont="1" applyAlignment="1" applyProtection="1">
      <alignment horizontal="right"/>
      <protection locked="0"/>
    </xf>
    <xf numFmtId="3" fontId="2" fillId="0" borderId="0" xfId="56" applyNumberFormat="1" applyFont="1">
      <alignment/>
      <protection/>
    </xf>
    <xf numFmtId="3" fontId="2" fillId="0" borderId="0" xfId="56" applyNumberFormat="1" applyFont="1" applyBorder="1">
      <alignment/>
      <protection/>
    </xf>
    <xf numFmtId="0" fontId="12" fillId="0" borderId="0" xfId="56" applyFont="1">
      <alignment/>
      <protection/>
    </xf>
    <xf numFmtId="3" fontId="2" fillId="0" borderId="0" xfId="56" applyNumberFormat="1" applyFont="1" applyProtection="1">
      <alignment/>
      <protection locked="0"/>
    </xf>
    <xf numFmtId="3" fontId="2" fillId="0" borderId="0" xfId="56" applyNumberFormat="1" applyFo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2" fillId="0" borderId="0" xfId="0" applyNumberFormat="1" applyFont="1" applyAlignment="1">
      <alignment/>
    </xf>
    <xf numFmtId="1" fontId="2" fillId="0" borderId="0" xfId="56" applyNumberFormat="1" applyFont="1">
      <alignment/>
      <protection/>
    </xf>
    <xf numFmtId="0" fontId="5" fillId="0" borderId="10" xfId="56" applyFont="1" applyBorder="1">
      <alignment/>
      <protection/>
    </xf>
    <xf numFmtId="0" fontId="2" fillId="0" borderId="0" xfId="0" applyFont="1" applyAlignment="1">
      <alignment/>
    </xf>
    <xf numFmtId="1" fontId="5" fillId="0" borderId="0" xfId="56" applyNumberFormat="1" applyFont="1" applyAlignment="1" applyProtection="1">
      <alignment horizontal="right"/>
      <protection/>
    </xf>
    <xf numFmtId="0" fontId="2" fillId="0" borderId="10" xfId="0" applyFont="1" applyBorder="1" applyAlignment="1">
      <alignment/>
    </xf>
    <xf numFmtId="9" fontId="2" fillId="0" borderId="0" xfId="56" applyNumberFormat="1" applyFont="1">
      <alignment/>
      <protection/>
    </xf>
    <xf numFmtId="0" fontId="9" fillId="0" borderId="0" xfId="0" applyFont="1" applyAlignment="1">
      <alignment/>
    </xf>
    <xf numFmtId="0" fontId="9" fillId="0" borderId="0" xfId="56" applyFont="1">
      <alignment/>
      <protection/>
    </xf>
    <xf numFmtId="0" fontId="9" fillId="0" borderId="0" xfId="56" applyFont="1">
      <alignment/>
      <protection/>
    </xf>
    <xf numFmtId="3" fontId="9" fillId="0" borderId="0" xfId="56" applyNumberFormat="1" applyFont="1">
      <alignment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9" fontId="4" fillId="0" borderId="0" xfId="60" applyFont="1" applyAlignment="1">
      <alignment/>
    </xf>
    <xf numFmtId="0" fontId="2" fillId="0" borderId="0" xfId="56" applyFont="1">
      <alignment/>
      <protection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4" fillId="33" borderId="0" xfId="58" applyFont="1" applyFill="1">
      <alignment/>
      <protection/>
    </xf>
    <xf numFmtId="0" fontId="3" fillId="33" borderId="0" xfId="58" applyFont="1" applyFill="1">
      <alignment/>
      <protection/>
    </xf>
    <xf numFmtId="0" fontId="3" fillId="33" borderId="0" xfId="58" applyFont="1" applyFill="1" applyAlignment="1">
      <alignment horizontal="left"/>
      <protection/>
    </xf>
    <xf numFmtId="0" fontId="2" fillId="33" borderId="0" xfId="58" applyFont="1" applyFill="1">
      <alignment/>
      <protection/>
    </xf>
    <xf numFmtId="0" fontId="2" fillId="33" borderId="0" xfId="58" applyFont="1" applyFill="1" applyAlignment="1">
      <alignment horizontal="left"/>
      <protection/>
    </xf>
    <xf numFmtId="0" fontId="5" fillId="33" borderId="0" xfId="58" applyFont="1" applyFill="1" applyBorder="1">
      <alignment/>
      <protection/>
    </xf>
    <xf numFmtId="0" fontId="5" fillId="33" borderId="0" xfId="58" applyFont="1" applyFill="1">
      <alignment/>
      <protection/>
    </xf>
    <xf numFmtId="0" fontId="2" fillId="33" borderId="0" xfId="58" applyFont="1" applyFill="1" applyBorder="1">
      <alignment/>
      <protection/>
    </xf>
    <xf numFmtId="0" fontId="2" fillId="33" borderId="0" xfId="58" applyFont="1" applyFill="1">
      <alignment/>
      <protection/>
    </xf>
    <xf numFmtId="0" fontId="3" fillId="33" borderId="10" xfId="58" applyFont="1" applyFill="1" applyBorder="1">
      <alignment/>
      <protection/>
    </xf>
    <xf numFmtId="201" fontId="3" fillId="33" borderId="0" xfId="58" applyNumberFormat="1" applyFont="1" applyFill="1">
      <alignment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5" fillId="0" borderId="0" xfId="53" applyFont="1">
      <alignment/>
      <protection/>
    </xf>
    <xf numFmtId="3" fontId="5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0" fontId="2" fillId="0" borderId="0" xfId="53" applyFont="1" applyAlignment="1" quotePrefix="1">
      <alignment horizontal="right"/>
      <protection/>
    </xf>
    <xf numFmtId="214" fontId="2" fillId="0" borderId="0" xfId="53" applyNumberFormat="1" applyFont="1">
      <alignment/>
      <protection/>
    </xf>
    <xf numFmtId="214" fontId="5" fillId="0" borderId="0" xfId="53" applyNumberFormat="1" applyFont="1">
      <alignment/>
      <protection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2" fillId="0" borderId="0" xfId="56" applyFont="1">
      <alignment/>
      <protection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33" borderId="0" xfId="55" applyFont="1" applyFill="1" applyBorder="1">
      <alignment/>
      <protection/>
    </xf>
    <xf numFmtId="49" fontId="18" fillId="0" borderId="0" xfId="0" applyNumberFormat="1" applyFont="1" applyBorder="1" applyAlignment="1">
      <alignment shrinkToFit="1"/>
    </xf>
    <xf numFmtId="0" fontId="12" fillId="33" borderId="0" xfId="58" applyFont="1" applyFill="1">
      <alignment/>
      <protection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shrinkToFit="1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shrinkToFit="1"/>
    </xf>
    <xf numFmtId="49" fontId="19" fillId="0" borderId="12" xfId="0" applyNumberFormat="1" applyFont="1" applyFill="1" applyBorder="1" applyAlignment="1">
      <alignment shrinkToFit="1"/>
    </xf>
    <xf numFmtId="3" fontId="14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3" fontId="5" fillId="0" borderId="0" xfId="56" applyNumberFormat="1" applyFont="1" applyAlignment="1">
      <alignment/>
      <protection/>
    </xf>
    <xf numFmtId="3" fontId="12" fillId="0" borderId="0" xfId="53" applyNumberFormat="1" applyFont="1">
      <alignment/>
      <protection/>
    </xf>
    <xf numFmtId="49" fontId="19" fillId="0" borderId="0" xfId="0" applyNumberFormat="1" applyFont="1" applyFill="1" applyBorder="1" applyAlignment="1">
      <alignment shrinkToFit="1"/>
    </xf>
    <xf numFmtId="49" fontId="19" fillId="0" borderId="10" xfId="0" applyNumberFormat="1" applyFont="1" applyFill="1" applyBorder="1" applyAlignment="1">
      <alignment shrinkToFit="1"/>
    </xf>
    <xf numFmtId="49" fontId="19" fillId="0" borderId="11" xfId="0" applyNumberFormat="1" applyFont="1" applyFill="1" applyBorder="1" applyAlignment="1">
      <alignment shrinkToFit="1"/>
    </xf>
    <xf numFmtId="1" fontId="2" fillId="0" borderId="0" xfId="0" applyNumberFormat="1" applyFont="1" applyBorder="1" applyAlignment="1">
      <alignment horizontal="right"/>
    </xf>
    <xf numFmtId="0" fontId="11" fillId="33" borderId="0" xfId="58" applyFont="1" applyFill="1" applyBorder="1">
      <alignment/>
      <protection/>
    </xf>
    <xf numFmtId="3" fontId="2" fillId="0" borderId="0" xfId="53" applyNumberFormat="1" applyFont="1" applyAlignment="1" quotePrefix="1">
      <alignment horizontal="right"/>
      <protection/>
    </xf>
    <xf numFmtId="3" fontId="23" fillId="0" borderId="0" xfId="53" applyNumberFormat="1" applyFont="1">
      <alignment/>
      <protection/>
    </xf>
    <xf numFmtId="0" fontId="64" fillId="0" borderId="0" xfId="0" applyFont="1" applyAlignment="1">
      <alignment/>
    </xf>
    <xf numFmtId="0" fontId="24" fillId="0" borderId="0" xfId="56" applyFont="1">
      <alignment/>
      <protection/>
    </xf>
    <xf numFmtId="0" fontId="24" fillId="0" borderId="0" xfId="0" applyFont="1" applyAlignment="1">
      <alignment/>
    </xf>
    <xf numFmtId="200" fontId="24" fillId="0" borderId="0" xfId="0" applyNumberFormat="1" applyFont="1" applyAlignment="1">
      <alignment/>
    </xf>
    <xf numFmtId="3" fontId="25" fillId="0" borderId="0" xfId="56" applyNumberFormat="1" applyFont="1" applyBorder="1" applyProtection="1">
      <alignment/>
      <protection locked="0"/>
    </xf>
    <xf numFmtId="3" fontId="25" fillId="0" borderId="0" xfId="56" applyNumberFormat="1" applyFont="1" applyBorder="1" applyProtection="1">
      <alignment/>
      <protection/>
    </xf>
    <xf numFmtId="1" fontId="24" fillId="0" borderId="0" xfId="56" applyNumberFormat="1" applyFont="1">
      <alignment/>
      <protection/>
    </xf>
    <xf numFmtId="3" fontId="24" fillId="0" borderId="0" xfId="56" applyNumberFormat="1" applyFont="1">
      <alignment/>
      <protection/>
    </xf>
    <xf numFmtId="0" fontId="4" fillId="33" borderId="0" xfId="57" applyFont="1" applyFill="1" applyBorder="1" applyAlignment="1">
      <alignment horizontal="left"/>
      <protection/>
    </xf>
    <xf numFmtId="49" fontId="3" fillId="33" borderId="0" xfId="52" applyNumberFormat="1" applyFont="1" applyFill="1" applyBorder="1" applyAlignment="1">
      <alignment/>
      <protection/>
    </xf>
    <xf numFmtId="203" fontId="15" fillId="33" borderId="0" xfId="55" applyNumberFormat="1" applyFont="1" applyFill="1" applyBorder="1">
      <alignment/>
      <protection/>
    </xf>
    <xf numFmtId="49" fontId="21" fillId="0" borderId="0" xfId="54" applyNumberFormat="1" applyFont="1" applyFill="1" applyBorder="1" applyAlignment="1">
      <alignment horizontal="center" vertical="center"/>
      <protection/>
    </xf>
    <xf numFmtId="203" fontId="17" fillId="0" borderId="0" xfId="54" applyNumberFormat="1" applyFont="1" applyBorder="1" applyAlignment="1">
      <alignment horizontal="right"/>
      <protection/>
    </xf>
    <xf numFmtId="0" fontId="5" fillId="34" borderId="11" xfId="57" applyFont="1" applyFill="1" applyBorder="1" applyAlignment="1">
      <alignment horizontal="center"/>
      <protection/>
    </xf>
    <xf numFmtId="49" fontId="5" fillId="34" borderId="11" xfId="52" applyNumberFormat="1" applyFont="1" applyFill="1" applyBorder="1" applyAlignment="1">
      <alignment horizontal="center"/>
      <protection/>
    </xf>
    <xf numFmtId="203" fontId="17" fillId="34" borderId="11" xfId="52" applyNumberFormat="1" applyFont="1" applyFill="1" applyBorder="1" applyAlignment="1">
      <alignment horizontal="center"/>
      <protection/>
    </xf>
    <xf numFmtId="0" fontId="5" fillId="33" borderId="0" xfId="57" applyFont="1" applyFill="1" applyBorder="1" applyAlignment="1">
      <alignment horizontal="left"/>
      <protection/>
    </xf>
    <xf numFmtId="49" fontId="5" fillId="33" borderId="0" xfId="52" applyNumberFormat="1" applyFont="1" applyFill="1" applyBorder="1" applyAlignment="1">
      <alignment horizontal="left"/>
      <protection/>
    </xf>
    <xf numFmtId="49" fontId="5" fillId="33" borderId="0" xfId="52" applyNumberFormat="1" applyFont="1" applyFill="1" applyBorder="1" applyAlignment="1">
      <alignment/>
      <protection/>
    </xf>
    <xf numFmtId="203" fontId="17" fillId="33" borderId="0" xfId="52" applyNumberFormat="1" applyFont="1" applyFill="1" applyBorder="1" applyAlignment="1">
      <alignment horizontal="center"/>
      <protection/>
    </xf>
    <xf numFmtId="49" fontId="2" fillId="0" borderId="12" xfId="0" applyNumberFormat="1" applyFont="1" applyFill="1" applyBorder="1" applyAlignment="1">
      <alignment horizontal="left"/>
    </xf>
    <xf numFmtId="202" fontId="15" fillId="0" borderId="12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202" fontId="15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202" fontId="15" fillId="0" borderId="1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202" fontId="15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21" fillId="0" borderId="0" xfId="57" applyFont="1" applyFill="1" applyBorder="1" applyAlignment="1">
      <alignment horizontal="left"/>
      <protection/>
    </xf>
    <xf numFmtId="202" fontId="17" fillId="0" borderId="0" xfId="0" applyNumberFormat="1" applyFont="1" applyAlignment="1">
      <alignment/>
    </xf>
    <xf numFmtId="49" fontId="17" fillId="35" borderId="11" xfId="0" applyNumberFormat="1" applyFont="1" applyFill="1" applyBorder="1" applyAlignment="1">
      <alignment shrinkToFit="1"/>
    </xf>
    <xf numFmtId="203" fontId="5" fillId="35" borderId="1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shrinkToFit="1"/>
    </xf>
    <xf numFmtId="203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56" applyNumberFormat="1" applyFont="1" applyAlignment="1" applyProtection="1">
      <alignment horizontal="right"/>
      <protection/>
    </xf>
    <xf numFmtId="0" fontId="1" fillId="0" borderId="0" xfId="44" applyAlignment="1" applyProtection="1">
      <alignment horizontal="left" vertical="center" wrapText="1" indent="1"/>
      <protection/>
    </xf>
    <xf numFmtId="0" fontId="65" fillId="0" borderId="0" xfId="0" applyFont="1" applyAlignment="1">
      <alignment vertical="center"/>
    </xf>
    <xf numFmtId="0" fontId="66" fillId="0" borderId="0" xfId="56" applyFont="1">
      <alignment/>
      <protection/>
    </xf>
    <xf numFmtId="0" fontId="67" fillId="0" borderId="0" xfId="0" applyFont="1" applyAlignment="1">
      <alignment/>
    </xf>
    <xf numFmtId="3" fontId="2" fillId="0" borderId="0" xfId="53" applyNumberFormat="1" applyFont="1" applyFill="1">
      <alignment/>
      <protection/>
    </xf>
    <xf numFmtId="3" fontId="66" fillId="0" borderId="0" xfId="53" applyNumberFormat="1" applyFont="1" applyFill="1">
      <alignment/>
      <protection/>
    </xf>
    <xf numFmtId="214" fontId="2" fillId="0" borderId="0" xfId="53" applyNumberFormat="1" applyFont="1" applyFill="1">
      <alignment/>
      <protection/>
    </xf>
    <xf numFmtId="0" fontId="66" fillId="0" borderId="0" xfId="53" applyFont="1" applyFill="1">
      <alignment/>
      <protection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53" applyFont="1" applyFill="1">
      <alignment/>
      <protection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33" borderId="0" xfId="58" applyFont="1" applyFill="1" applyBorder="1">
      <alignment/>
      <protection/>
    </xf>
    <xf numFmtId="201" fontId="3" fillId="33" borderId="0" xfId="58" applyNumberFormat="1" applyFont="1" applyFill="1" applyBorder="1">
      <alignment/>
      <protection/>
    </xf>
    <xf numFmtId="49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shrinkToFit="1"/>
    </xf>
    <xf numFmtId="0" fontId="1" fillId="0" borderId="0" xfId="44" applyBorder="1" applyAlignment="1" applyProtection="1">
      <alignment horizontal="left" vertical="center" wrapText="1" indent="1"/>
      <protection/>
    </xf>
    <xf numFmtId="0" fontId="2" fillId="0" borderId="0" xfId="53" applyFont="1" applyBorder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17" fillId="34" borderId="11" xfId="0" applyNumberFormat="1" applyFont="1" applyFill="1" applyBorder="1" applyAlignment="1">
      <alignment shrinkToFit="1"/>
    </xf>
    <xf numFmtId="203" fontId="5" fillId="34" borderId="11" xfId="0" applyNumberFormat="1" applyFont="1" applyFill="1" applyBorder="1" applyAlignment="1">
      <alignment horizontal="center"/>
    </xf>
    <xf numFmtId="0" fontId="3" fillId="34" borderId="0" xfId="58" applyFont="1" applyFill="1" applyAlignment="1">
      <alignment horizontal="left"/>
      <protection/>
    </xf>
    <xf numFmtId="0" fontId="3" fillId="34" borderId="0" xfId="58" applyFont="1" applyFill="1">
      <alignment/>
      <protection/>
    </xf>
    <xf numFmtId="0" fontId="2" fillId="34" borderId="0" xfId="53" applyFont="1" applyFill="1">
      <alignment/>
      <protection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3" fontId="2" fillId="34" borderId="0" xfId="56" applyNumberFormat="1" applyFont="1" applyFill="1">
      <alignment/>
      <protection/>
    </xf>
    <xf numFmtId="0" fontId="4" fillId="34" borderId="0" xfId="0" applyFont="1" applyFill="1" applyAlignment="1">
      <alignment/>
    </xf>
    <xf numFmtId="194" fontId="5" fillId="36" borderId="11" xfId="56" applyNumberFormat="1" applyFont="1" applyFill="1" applyBorder="1" applyAlignment="1" applyProtection="1">
      <alignment horizontal="left"/>
      <protection locked="0"/>
    </xf>
    <xf numFmtId="1" fontId="5" fillId="36" borderId="11" xfId="56" applyNumberFormat="1" applyFont="1" applyFill="1" applyBorder="1" applyProtection="1">
      <alignment/>
      <protection locked="0"/>
    </xf>
    <xf numFmtId="1" fontId="5" fillId="36" borderId="11" xfId="56" applyNumberFormat="1" applyFont="1" applyFill="1" applyBorder="1" applyProtection="1">
      <alignment/>
      <protection/>
    </xf>
    <xf numFmtId="1" fontId="5" fillId="36" borderId="11" xfId="56" applyNumberFormat="1" applyFont="1" applyFill="1" applyBorder="1">
      <alignment/>
      <protection/>
    </xf>
    <xf numFmtId="0" fontId="5" fillId="36" borderId="11" xfId="56" applyNumberFormat="1" applyFont="1" applyFill="1" applyBorder="1">
      <alignment/>
      <protection/>
    </xf>
    <xf numFmtId="0" fontId="5" fillId="36" borderId="11" xfId="56" applyFont="1" applyFill="1" applyBorder="1">
      <alignment/>
      <protection/>
    </xf>
    <xf numFmtId="194" fontId="5" fillId="35" borderId="0" xfId="56" applyNumberFormat="1" applyFont="1" applyFill="1" applyAlignment="1" applyProtection="1">
      <alignment horizontal="left"/>
      <protection locked="0"/>
    </xf>
    <xf numFmtId="3" fontId="5" fillId="35" borderId="0" xfId="56" applyNumberFormat="1" applyFont="1" applyFill="1" applyProtection="1">
      <alignment/>
      <protection/>
    </xf>
    <xf numFmtId="3" fontId="5" fillId="35" borderId="0" xfId="56" applyNumberFormat="1" applyFont="1" applyFill="1" applyBorder="1" applyProtection="1">
      <alignment/>
      <protection/>
    </xf>
    <xf numFmtId="3" fontId="5" fillId="35" borderId="0" xfId="56" applyNumberFormat="1" applyFont="1" applyFill="1">
      <alignment/>
      <protection/>
    </xf>
    <xf numFmtId="194" fontId="2" fillId="37" borderId="0" xfId="56" applyNumberFormat="1" applyFont="1" applyFill="1" applyAlignment="1" applyProtection="1">
      <alignment horizontal="left"/>
      <protection locked="0"/>
    </xf>
    <xf numFmtId="3" fontId="2" fillId="37" borderId="0" xfId="56" applyNumberFormat="1" applyFont="1" applyFill="1" applyProtection="1">
      <alignment/>
      <protection locked="0"/>
    </xf>
    <xf numFmtId="3" fontId="2" fillId="37" borderId="0" xfId="56" applyNumberFormat="1" applyFont="1" applyFill="1" applyProtection="1">
      <alignment/>
      <protection/>
    </xf>
    <xf numFmtId="3" fontId="2" fillId="37" borderId="0" xfId="56" applyNumberFormat="1" applyFont="1" applyFill="1">
      <alignment/>
      <protection/>
    </xf>
    <xf numFmtId="3" fontId="2" fillId="37" borderId="0" xfId="56" applyNumberFormat="1" applyFont="1" applyFill="1" applyBorder="1">
      <alignment/>
      <protection/>
    </xf>
    <xf numFmtId="1" fontId="2" fillId="37" borderId="0" xfId="56" applyNumberFormat="1" applyFont="1" applyFill="1">
      <alignment/>
      <protection/>
    </xf>
    <xf numFmtId="3" fontId="2" fillId="37" borderId="0" xfId="56" applyNumberFormat="1" applyFont="1" applyFill="1">
      <alignment/>
      <protection/>
    </xf>
    <xf numFmtId="3" fontId="2" fillId="37" borderId="0" xfId="56" applyNumberFormat="1" applyFont="1" applyFill="1" applyBorder="1">
      <alignment/>
      <protection/>
    </xf>
    <xf numFmtId="0" fontId="2" fillId="37" borderId="0" xfId="56" applyFont="1" applyFill="1">
      <alignment/>
      <protection/>
    </xf>
    <xf numFmtId="1" fontId="2" fillId="37" borderId="0" xfId="56" applyNumberFormat="1" applyFont="1" applyFill="1">
      <alignment/>
      <protection/>
    </xf>
    <xf numFmtId="194" fontId="2" fillId="37" borderId="0" xfId="56" applyNumberFormat="1" applyFont="1" applyFill="1" applyAlignment="1" applyProtection="1">
      <alignment horizontal="left"/>
      <protection locked="0"/>
    </xf>
    <xf numFmtId="3" fontId="2" fillId="37" borderId="0" xfId="56" applyNumberFormat="1" applyFont="1" applyFill="1" applyProtection="1">
      <alignment/>
      <protection locked="0"/>
    </xf>
    <xf numFmtId="3" fontId="2" fillId="37" borderId="0" xfId="56" applyNumberFormat="1" applyFont="1" applyFill="1" applyAlignment="1" applyProtection="1">
      <alignment horizontal="right"/>
      <protection locked="0"/>
    </xf>
    <xf numFmtId="3" fontId="2" fillId="37" borderId="0" xfId="56" applyNumberFormat="1" applyFont="1" applyFill="1" applyProtection="1">
      <alignment/>
      <protection/>
    </xf>
    <xf numFmtId="194" fontId="5" fillId="38" borderId="0" xfId="56" applyNumberFormat="1" applyFont="1" applyFill="1" applyAlignment="1" applyProtection="1">
      <alignment horizontal="left"/>
      <protection locked="0"/>
    </xf>
    <xf numFmtId="3" fontId="5" fillId="38" borderId="0" xfId="56" applyNumberFormat="1" applyFont="1" applyFill="1">
      <alignment/>
      <protection/>
    </xf>
    <xf numFmtId="0" fontId="5" fillId="38" borderId="0" xfId="0" applyFont="1" applyFill="1" applyAlignment="1">
      <alignment/>
    </xf>
    <xf numFmtId="3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/>
    </xf>
    <xf numFmtId="1" fontId="5" fillId="36" borderId="11" xfId="56" applyNumberFormat="1" applyFont="1" applyFill="1" applyBorder="1" applyProtection="1">
      <alignment/>
      <protection locked="0"/>
    </xf>
    <xf numFmtId="1" fontId="5" fillId="36" borderId="11" xfId="56" applyNumberFormat="1" applyFont="1" applyFill="1" applyBorder="1" applyProtection="1">
      <alignment/>
      <protection/>
    </xf>
    <xf numFmtId="1" fontId="5" fillId="36" borderId="11" xfId="56" applyNumberFormat="1" applyFont="1" applyFill="1" applyBorder="1">
      <alignment/>
      <protection/>
    </xf>
    <xf numFmtId="0" fontId="5" fillId="36" borderId="11" xfId="0" applyFont="1" applyFill="1" applyBorder="1" applyAlignment="1">
      <alignment horizontal="right"/>
    </xf>
    <xf numFmtId="0" fontId="5" fillId="36" borderId="11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194" fontId="5" fillId="38" borderId="0" xfId="56" applyNumberFormat="1" applyFont="1" applyFill="1" applyAlignment="1" applyProtection="1">
      <alignment horizontal="left"/>
      <protection locked="0"/>
    </xf>
    <xf numFmtId="3" fontId="5" fillId="38" borderId="0" xfId="56" applyNumberFormat="1" applyFont="1" applyFill="1" applyProtection="1">
      <alignment/>
      <protection/>
    </xf>
    <xf numFmtId="3" fontId="5" fillId="35" borderId="0" xfId="56" applyNumberFormat="1" applyFont="1" applyFill="1" applyProtection="1">
      <alignment/>
      <protection locked="0"/>
    </xf>
    <xf numFmtId="3" fontId="5" fillId="35" borderId="0" xfId="56" applyNumberFormat="1" applyFont="1" applyFill="1" applyBorder="1" applyProtection="1">
      <alignment/>
      <protection locked="0"/>
    </xf>
    <xf numFmtId="194" fontId="5" fillId="35" borderId="0" xfId="56" applyNumberFormat="1" applyFont="1" applyFill="1" applyAlignment="1" applyProtection="1">
      <alignment horizontal="left"/>
      <protection locked="0"/>
    </xf>
    <xf numFmtId="3" fontId="5" fillId="35" borderId="0" xfId="56" applyNumberFormat="1" applyFont="1" applyFill="1">
      <alignment/>
      <protection/>
    </xf>
    <xf numFmtId="3" fontId="2" fillId="37" borderId="0" xfId="0" applyNumberFormat="1" applyFont="1" applyFill="1" applyBorder="1" applyAlignment="1">
      <alignment/>
    </xf>
    <xf numFmtId="3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1" fontId="2" fillId="37" borderId="0" xfId="0" applyNumberFormat="1" applyFont="1" applyFill="1" applyAlignment="1">
      <alignment/>
    </xf>
    <xf numFmtId="3" fontId="2" fillId="37" borderId="0" xfId="56" applyNumberFormat="1" applyFont="1" applyFill="1" applyBorder="1" applyProtection="1">
      <alignment/>
      <protection/>
    </xf>
    <xf numFmtId="3" fontId="2" fillId="37" borderId="0" xfId="56" applyNumberFormat="1" applyFont="1" applyFill="1" applyAlignment="1" applyProtection="1">
      <alignment horizontal="right"/>
      <protection locked="0"/>
    </xf>
    <xf numFmtId="194" fontId="5" fillId="36" borderId="0" xfId="56" applyNumberFormat="1" applyFont="1" applyFill="1" applyAlignment="1" applyProtection="1">
      <alignment horizontal="left"/>
      <protection locked="0"/>
    </xf>
    <xf numFmtId="3" fontId="5" fillId="36" borderId="0" xfId="56" applyNumberFormat="1" applyFont="1" applyFill="1">
      <alignment/>
      <protection/>
    </xf>
    <xf numFmtId="3" fontId="2" fillId="37" borderId="0" xfId="56" applyNumberFormat="1" applyFont="1" applyFill="1" applyAlignment="1" applyProtection="1" quotePrefix="1">
      <alignment horizontal="right"/>
      <protection locked="0"/>
    </xf>
    <xf numFmtId="3" fontId="2" fillId="37" borderId="0" xfId="0" applyNumberFormat="1" applyFont="1" applyFill="1" applyAlignment="1">
      <alignment/>
    </xf>
    <xf numFmtId="3" fontId="2" fillId="37" borderId="0" xfId="56" applyNumberFormat="1" applyFont="1" applyFill="1" applyAlignment="1" applyProtection="1">
      <alignment horizontal="right"/>
      <protection/>
    </xf>
    <xf numFmtId="0" fontId="2" fillId="37" borderId="0" xfId="0" applyFont="1" applyFill="1" applyAlignment="1">
      <alignment/>
    </xf>
    <xf numFmtId="3" fontId="5" fillId="38" borderId="0" xfId="56" applyNumberFormat="1" applyFont="1" applyFill="1" applyProtection="1">
      <alignment/>
      <protection/>
    </xf>
    <xf numFmtId="1" fontId="2" fillId="37" borderId="0" xfId="0" applyNumberFormat="1" applyFont="1" applyFill="1" applyAlignment="1">
      <alignment/>
    </xf>
    <xf numFmtId="0" fontId="68" fillId="33" borderId="0" xfId="58" applyFont="1" applyFill="1">
      <alignment/>
      <protection/>
    </xf>
    <xf numFmtId="0" fontId="2" fillId="39" borderId="0" xfId="58" applyFont="1" applyFill="1" applyAlignment="1">
      <alignment horizontal="left"/>
      <protection/>
    </xf>
    <xf numFmtId="0" fontId="2" fillId="39" borderId="0" xfId="58" applyFont="1" applyFill="1" applyBorder="1">
      <alignment/>
      <protection/>
    </xf>
    <xf numFmtId="0" fontId="2" fillId="37" borderId="0" xfId="58" applyFont="1" applyFill="1">
      <alignment/>
      <protection/>
    </xf>
    <xf numFmtId="0" fontId="2" fillId="37" borderId="0" xfId="58" applyFont="1" applyFill="1" applyAlignment="1">
      <alignment horizontal="left"/>
      <protection/>
    </xf>
    <xf numFmtId="0" fontId="2" fillId="37" borderId="0" xfId="58" applyFont="1" applyFill="1" applyBorder="1">
      <alignment/>
      <protection/>
    </xf>
    <xf numFmtId="201" fontId="2" fillId="37" borderId="0" xfId="58" applyNumberFormat="1" applyFont="1" applyFill="1" applyBorder="1">
      <alignment/>
      <protection/>
    </xf>
    <xf numFmtId="0" fontId="2" fillId="37" borderId="0" xfId="58" applyFont="1" applyFill="1" applyAlignment="1">
      <alignment horizontal="left"/>
      <protection/>
    </xf>
    <xf numFmtId="0" fontId="2" fillId="37" borderId="0" xfId="58" applyFont="1" applyFill="1" applyBorder="1">
      <alignment/>
      <protection/>
    </xf>
    <xf numFmtId="201" fontId="2" fillId="37" borderId="0" xfId="58" applyNumberFormat="1" applyFont="1" applyFill="1" applyBorder="1">
      <alignment/>
      <protection/>
    </xf>
    <xf numFmtId="200" fontId="2" fillId="37" borderId="0" xfId="58" applyNumberFormat="1" applyFont="1" applyFill="1">
      <alignment/>
      <protection/>
    </xf>
    <xf numFmtId="0" fontId="2" fillId="40" borderId="0" xfId="58" applyFont="1" applyFill="1">
      <alignment/>
      <protection/>
    </xf>
    <xf numFmtId="0" fontId="2" fillId="40" borderId="0" xfId="58" applyFont="1" applyFill="1" applyAlignment="1">
      <alignment horizontal="left"/>
      <protection/>
    </xf>
    <xf numFmtId="0" fontId="2" fillId="40" borderId="0" xfId="58" applyFont="1" applyFill="1" applyBorder="1">
      <alignment/>
      <protection/>
    </xf>
    <xf numFmtId="201" fontId="2" fillId="40" borderId="0" xfId="58" applyNumberFormat="1" applyFont="1" applyFill="1" applyBorder="1">
      <alignment/>
      <protection/>
    </xf>
    <xf numFmtId="0" fontId="2" fillId="40" borderId="0" xfId="58" applyFont="1" applyFill="1">
      <alignment/>
      <protection/>
    </xf>
    <xf numFmtId="0" fontId="2" fillId="40" borderId="0" xfId="58" applyFont="1" applyFill="1" applyAlignment="1">
      <alignment horizontal="left"/>
      <protection/>
    </xf>
    <xf numFmtId="0" fontId="2" fillId="40" borderId="0" xfId="58" applyFont="1" applyFill="1" applyBorder="1">
      <alignment/>
      <protection/>
    </xf>
    <xf numFmtId="201" fontId="2" fillId="40" borderId="0" xfId="58" applyNumberFormat="1" applyFont="1" applyFill="1" applyBorder="1">
      <alignment/>
      <protection/>
    </xf>
    <xf numFmtId="0" fontId="66" fillId="40" borderId="0" xfId="58" applyFont="1" applyFill="1">
      <alignment/>
      <protection/>
    </xf>
    <xf numFmtId="0" fontId="66" fillId="40" borderId="0" xfId="58" applyFont="1" applyFill="1" applyAlignment="1">
      <alignment horizontal="left"/>
      <protection/>
    </xf>
    <xf numFmtId="0" fontId="66" fillId="40" borderId="0" xfId="58" applyFont="1" applyFill="1" applyBorder="1">
      <alignment/>
      <protection/>
    </xf>
    <xf numFmtId="201" fontId="66" fillId="40" borderId="0" xfId="58" applyNumberFormat="1" applyFont="1" applyFill="1" applyBorder="1">
      <alignment/>
      <protection/>
    </xf>
    <xf numFmtId="0" fontId="64" fillId="40" borderId="0" xfId="58" applyFont="1" applyFill="1">
      <alignment/>
      <protection/>
    </xf>
    <xf numFmtId="201" fontId="64" fillId="40" borderId="0" xfId="58" applyNumberFormat="1" applyFont="1" applyFill="1" applyBorder="1">
      <alignment/>
      <protection/>
    </xf>
    <xf numFmtId="0" fontId="12" fillId="40" borderId="0" xfId="58" applyFont="1" applyFill="1">
      <alignment/>
      <protection/>
    </xf>
    <xf numFmtId="201" fontId="2" fillId="40" borderId="0" xfId="58" applyNumberFormat="1" applyFont="1" applyFill="1">
      <alignment/>
      <protection/>
    </xf>
    <xf numFmtId="0" fontId="64" fillId="40" borderId="0" xfId="58" applyFont="1" applyFill="1" applyBorder="1">
      <alignment/>
      <protection/>
    </xf>
    <xf numFmtId="0" fontId="64" fillId="40" borderId="0" xfId="58" applyFont="1" applyFill="1" applyBorder="1" applyAlignment="1">
      <alignment horizontal="left"/>
      <protection/>
    </xf>
    <xf numFmtId="0" fontId="64" fillId="40" borderId="0" xfId="58" applyFont="1" applyFill="1" applyBorder="1" applyAlignment="1">
      <alignment horizontal="right"/>
      <protection/>
    </xf>
    <xf numFmtId="201" fontId="66" fillId="40" borderId="0" xfId="58" applyNumberFormat="1" applyFont="1" applyFill="1">
      <alignment/>
      <protection/>
    </xf>
    <xf numFmtId="200" fontId="2" fillId="40" borderId="0" xfId="58" applyNumberFormat="1" applyFont="1" applyFill="1">
      <alignment/>
      <protection/>
    </xf>
    <xf numFmtId="0" fontId="68" fillId="40" borderId="0" xfId="58" applyFont="1" applyFill="1">
      <alignment/>
      <protection/>
    </xf>
    <xf numFmtId="0" fontId="3" fillId="40" borderId="10" xfId="58" applyFont="1" applyFill="1" applyBorder="1">
      <alignment/>
      <protection/>
    </xf>
    <xf numFmtId="0" fontId="3" fillId="40" borderId="10" xfId="58" applyFont="1" applyFill="1" applyBorder="1" applyAlignment="1">
      <alignment horizontal="left"/>
      <protection/>
    </xf>
    <xf numFmtId="0" fontId="2" fillId="40" borderId="10" xfId="58" applyFont="1" applyFill="1" applyBorder="1">
      <alignment/>
      <protection/>
    </xf>
    <xf numFmtId="0" fontId="2" fillId="40" borderId="10" xfId="58" applyFont="1" applyFill="1" applyBorder="1">
      <alignment/>
      <protection/>
    </xf>
    <xf numFmtId="0" fontId="24" fillId="40" borderId="0" xfId="0" applyFont="1" applyFill="1" applyAlignment="1">
      <alignment/>
    </xf>
    <xf numFmtId="0" fontId="3" fillId="40" borderId="0" xfId="58" applyFont="1" applyFill="1" applyAlignment="1">
      <alignment horizontal="left"/>
      <protection/>
    </xf>
    <xf numFmtId="0" fontId="3" fillId="40" borderId="0" xfId="58" applyFont="1" applyFill="1">
      <alignment/>
      <protection/>
    </xf>
    <xf numFmtId="0" fontId="5" fillId="36" borderId="11" xfId="58" applyFont="1" applyFill="1" applyBorder="1">
      <alignment/>
      <protection/>
    </xf>
    <xf numFmtId="0" fontId="5" fillId="36" borderId="11" xfId="58" applyFont="1" applyFill="1" applyBorder="1" applyAlignment="1">
      <alignment horizontal="left"/>
      <protection/>
    </xf>
    <xf numFmtId="0" fontId="5" fillId="36" borderId="11" xfId="58" applyFont="1" applyFill="1" applyBorder="1" applyAlignment="1">
      <alignment horizontal="right"/>
      <protection/>
    </xf>
    <xf numFmtId="0" fontId="5" fillId="38" borderId="0" xfId="58" applyFont="1" applyFill="1">
      <alignment/>
      <protection/>
    </xf>
    <xf numFmtId="0" fontId="66" fillId="38" borderId="0" xfId="58" applyFont="1" applyFill="1">
      <alignment/>
      <protection/>
    </xf>
    <xf numFmtId="0" fontId="66" fillId="38" borderId="0" xfId="58" applyFont="1" applyFill="1" applyAlignment="1">
      <alignment horizontal="left"/>
      <protection/>
    </xf>
    <xf numFmtId="0" fontId="66" fillId="38" borderId="0" xfId="58" applyFont="1" applyFill="1" applyBorder="1">
      <alignment/>
      <protection/>
    </xf>
    <xf numFmtId="0" fontId="2" fillId="38" borderId="0" xfId="58" applyFont="1" applyFill="1">
      <alignment/>
      <protection/>
    </xf>
    <xf numFmtId="0" fontId="2" fillId="38" borderId="0" xfId="58" applyFont="1" applyFill="1">
      <alignment/>
      <protection/>
    </xf>
    <xf numFmtId="0" fontId="2" fillId="41" borderId="0" xfId="58" applyFont="1" applyFill="1">
      <alignment/>
      <protection/>
    </xf>
    <xf numFmtId="0" fontId="5" fillId="41" borderId="0" xfId="58" applyFont="1" applyFill="1">
      <alignment/>
      <protection/>
    </xf>
    <xf numFmtId="0" fontId="66" fillId="41" borderId="0" xfId="58" applyFont="1" applyFill="1" applyAlignment="1">
      <alignment horizontal="left"/>
      <protection/>
    </xf>
    <xf numFmtId="0" fontId="66" fillId="41" borderId="0" xfId="58" applyFont="1" applyFill="1" applyBorder="1">
      <alignment/>
      <protection/>
    </xf>
    <xf numFmtId="0" fontId="66" fillId="41" borderId="0" xfId="58" applyFont="1" applyFill="1">
      <alignment/>
      <protection/>
    </xf>
    <xf numFmtId="0" fontId="2" fillId="39" borderId="0" xfId="58" applyFont="1" applyFill="1">
      <alignment/>
      <protection/>
    </xf>
    <xf numFmtId="0" fontId="5" fillId="39" borderId="0" xfId="58" applyFont="1" applyFill="1">
      <alignment/>
      <protection/>
    </xf>
    <xf numFmtId="201" fontId="5" fillId="39" borderId="0" xfId="58" applyNumberFormat="1" applyFont="1" applyFill="1" applyBorder="1">
      <alignment/>
      <protection/>
    </xf>
    <xf numFmtId="0" fontId="2" fillId="39" borderId="0" xfId="58" applyFont="1" applyFill="1" applyBorder="1">
      <alignment/>
      <protection/>
    </xf>
    <xf numFmtId="0" fontId="5" fillId="39" borderId="0" xfId="58" applyFont="1" applyFill="1" applyBorder="1">
      <alignment/>
      <protection/>
    </xf>
    <xf numFmtId="0" fontId="66" fillId="39" borderId="0" xfId="58" applyFont="1" applyFill="1" applyBorder="1" applyAlignment="1">
      <alignment horizontal="left"/>
      <protection/>
    </xf>
    <xf numFmtId="0" fontId="66" fillId="39" borderId="0" xfId="58" applyFont="1" applyFill="1" applyBorder="1">
      <alignment/>
      <protection/>
    </xf>
    <xf numFmtId="0" fontId="66" fillId="39" borderId="0" xfId="58" applyFont="1" applyFill="1" applyAlignment="1">
      <alignment horizontal="left"/>
      <protection/>
    </xf>
    <xf numFmtId="0" fontId="5" fillId="35" borderId="0" xfId="58" applyFont="1" applyFill="1">
      <alignment/>
      <protection/>
    </xf>
    <xf numFmtId="0" fontId="2" fillId="35" borderId="0" xfId="58" applyFont="1" applyFill="1" applyAlignment="1">
      <alignment horizontal="left"/>
      <protection/>
    </xf>
    <xf numFmtId="0" fontId="2" fillId="35" borderId="0" xfId="58" applyFont="1" applyFill="1" applyBorder="1">
      <alignment/>
      <protection/>
    </xf>
    <xf numFmtId="201" fontId="5" fillId="35" borderId="0" xfId="58" applyNumberFormat="1" applyFont="1" applyFill="1" applyBorder="1">
      <alignment/>
      <protection/>
    </xf>
    <xf numFmtId="0" fontId="2" fillId="35" borderId="0" xfId="58" applyFont="1" applyFill="1" applyAlignment="1">
      <alignment horizontal="left"/>
      <protection/>
    </xf>
    <xf numFmtId="0" fontId="2" fillId="35" borderId="0" xfId="58" applyFont="1" applyFill="1" applyBorder="1">
      <alignment/>
      <protection/>
    </xf>
    <xf numFmtId="0" fontId="66" fillId="35" borderId="0" xfId="58" applyFont="1" applyFill="1" applyBorder="1">
      <alignment/>
      <protection/>
    </xf>
    <xf numFmtId="3" fontId="5" fillId="0" borderId="0" xfId="53" applyNumberFormat="1" applyFont="1" applyFill="1">
      <alignment/>
      <protection/>
    </xf>
    <xf numFmtId="0" fontId="2" fillId="0" borderId="0" xfId="53" applyFont="1" applyFill="1" applyAlignment="1" quotePrefix="1">
      <alignment horizontal="right"/>
      <protection/>
    </xf>
    <xf numFmtId="0" fontId="5" fillId="36" borderId="11" xfId="0" applyFont="1" applyFill="1" applyBorder="1" applyAlignment="1">
      <alignment horizontal="left"/>
    </xf>
    <xf numFmtId="3" fontId="2" fillId="37" borderId="0" xfId="53" applyNumberFormat="1" applyFont="1" applyFill="1">
      <alignment/>
      <protection/>
    </xf>
    <xf numFmtId="214" fontId="2" fillId="37" borderId="0" xfId="53" applyNumberFormat="1" applyFont="1" applyFill="1">
      <alignment/>
      <protection/>
    </xf>
    <xf numFmtId="3" fontId="23" fillId="37" borderId="0" xfId="53" applyNumberFormat="1" applyFont="1" applyFill="1">
      <alignment/>
      <protection/>
    </xf>
    <xf numFmtId="3" fontId="2" fillId="37" borderId="0" xfId="53" applyNumberFormat="1" applyFont="1" applyFill="1" applyAlignment="1" quotePrefix="1">
      <alignment horizontal="right"/>
      <protection/>
    </xf>
    <xf numFmtId="0" fontId="5" fillId="37" borderId="0" xfId="0" applyFont="1" applyFill="1" applyAlignment="1">
      <alignment/>
    </xf>
    <xf numFmtId="3" fontId="5" fillId="37" borderId="0" xfId="53" applyNumberFormat="1" applyFont="1" applyFill="1">
      <alignment/>
      <protection/>
    </xf>
    <xf numFmtId="3" fontId="5" fillId="37" borderId="0" xfId="53" applyNumberFormat="1" applyFont="1" applyFill="1">
      <alignment/>
      <protection/>
    </xf>
    <xf numFmtId="0" fontId="5" fillId="35" borderId="0" xfId="0" applyFont="1" applyFill="1" applyAlignment="1">
      <alignment/>
    </xf>
    <xf numFmtId="3" fontId="5" fillId="35" borderId="0" xfId="53" applyNumberFormat="1" applyFont="1" applyFill="1">
      <alignment/>
      <protection/>
    </xf>
    <xf numFmtId="3" fontId="5" fillId="35" borderId="0" xfId="53" applyNumberFormat="1" applyFont="1" applyFill="1">
      <alignment/>
      <protection/>
    </xf>
    <xf numFmtId="214" fontId="5" fillId="35" borderId="0" xfId="53" applyNumberFormat="1" applyFont="1" applyFill="1">
      <alignment/>
      <protection/>
    </xf>
    <xf numFmtId="3" fontId="22" fillId="35" borderId="0" xfId="53" applyNumberFormat="1" applyFont="1" applyFill="1">
      <alignment/>
      <protection/>
    </xf>
    <xf numFmtId="214" fontId="5" fillId="35" borderId="0" xfId="53" applyNumberFormat="1" applyFont="1" applyFill="1">
      <alignment/>
      <protection/>
    </xf>
    <xf numFmtId="0" fontId="5" fillId="34" borderId="0" xfId="0" applyFont="1" applyFill="1" applyAlignment="1">
      <alignment/>
    </xf>
    <xf numFmtId="3" fontId="5" fillId="34" borderId="0" xfId="53" applyNumberFormat="1" applyFont="1" applyFill="1">
      <alignment/>
      <protection/>
    </xf>
    <xf numFmtId="3" fontId="5" fillId="34" borderId="0" xfId="53" applyNumberFormat="1" applyFont="1" applyFill="1">
      <alignment/>
      <protection/>
    </xf>
    <xf numFmtId="214" fontId="5" fillId="34" borderId="0" xfId="53" applyNumberFormat="1" applyFont="1" applyFill="1">
      <alignment/>
      <protection/>
    </xf>
    <xf numFmtId="49" fontId="4" fillId="41" borderId="0" xfId="54" applyNumberFormat="1" applyFont="1" applyFill="1" applyBorder="1" applyAlignment="1">
      <alignment horizontal="left" vertical="center"/>
      <protection/>
    </xf>
    <xf numFmtId="49" fontId="21" fillId="41" borderId="0" xfId="54" applyNumberFormat="1" applyFont="1" applyFill="1" applyBorder="1" applyAlignment="1">
      <alignment horizontal="center" vertical="center"/>
      <protection/>
    </xf>
    <xf numFmtId="0" fontId="0" fillId="41" borderId="0" xfId="0" applyFill="1" applyAlignment="1">
      <alignment/>
    </xf>
    <xf numFmtId="49" fontId="2" fillId="0" borderId="11" xfId="0" applyNumberFormat="1" applyFont="1" applyFill="1" applyBorder="1" applyAlignment="1">
      <alignment horizontal="justify" vertical="center" wrapText="1"/>
    </xf>
    <xf numFmtId="49" fontId="19" fillId="0" borderId="11" xfId="0" applyNumberFormat="1" applyFont="1" applyFill="1" applyBorder="1" applyAlignment="1">
      <alignment horizontal="justify" vertical="center" wrapText="1"/>
    </xf>
    <xf numFmtId="202" fontId="15" fillId="0" borderId="11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 shrinkToFit="1"/>
    </xf>
    <xf numFmtId="49" fontId="19" fillId="0" borderId="10" xfId="0" applyNumberFormat="1" applyFont="1" applyFill="1" applyBorder="1" applyAlignment="1">
      <alignment horizontal="justify" vertical="center" wrapText="1"/>
    </xf>
    <xf numFmtId="202" fontId="15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justify" vertical="center" wrapText="1"/>
    </xf>
    <xf numFmtId="202" fontId="15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vertical="center" shrinkToFit="1"/>
    </xf>
    <xf numFmtId="202" fontId="15" fillId="0" borderId="11" xfId="0" applyNumberFormat="1" applyFont="1" applyFill="1" applyBorder="1" applyAlignment="1">
      <alignment horizontal="right" vertical="center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 shrinkToFit="1"/>
    </xf>
    <xf numFmtId="49" fontId="2" fillId="37" borderId="0" xfId="0" applyNumberFormat="1" applyFont="1" applyFill="1" applyBorder="1" applyAlignment="1">
      <alignment horizontal="left"/>
    </xf>
    <xf numFmtId="49" fontId="19" fillId="37" borderId="0" xfId="0" applyNumberFormat="1" applyFont="1" applyFill="1" applyBorder="1" applyAlignment="1">
      <alignment shrinkToFit="1"/>
    </xf>
    <xf numFmtId="202" fontId="15" fillId="37" borderId="0" xfId="0" applyNumberFormat="1" applyFont="1" applyFill="1" applyBorder="1" applyAlignment="1">
      <alignment horizontal="right"/>
    </xf>
    <xf numFmtId="49" fontId="2" fillId="37" borderId="10" xfId="0" applyNumberFormat="1" applyFont="1" applyFill="1" applyBorder="1" applyAlignment="1">
      <alignment horizontal="left"/>
    </xf>
    <xf numFmtId="49" fontId="19" fillId="37" borderId="10" xfId="0" applyNumberFormat="1" applyFont="1" applyFill="1" applyBorder="1" applyAlignment="1">
      <alignment shrinkToFit="1"/>
    </xf>
    <xf numFmtId="202" fontId="15" fillId="37" borderId="10" xfId="0" applyNumberFormat="1" applyFont="1" applyFill="1" applyBorder="1" applyAlignment="1">
      <alignment horizontal="right"/>
    </xf>
    <xf numFmtId="49" fontId="2" fillId="37" borderId="11" xfId="0" applyNumberFormat="1" applyFont="1" applyFill="1" applyBorder="1" applyAlignment="1">
      <alignment horizontal="left"/>
    </xf>
    <xf numFmtId="49" fontId="19" fillId="37" borderId="11" xfId="0" applyNumberFormat="1" applyFont="1" applyFill="1" applyBorder="1" applyAlignment="1">
      <alignment shrinkToFit="1"/>
    </xf>
    <xf numFmtId="202" fontId="15" fillId="37" borderId="11" xfId="0" applyNumberFormat="1" applyFont="1" applyFill="1" applyBorder="1" applyAlignment="1">
      <alignment horizontal="right"/>
    </xf>
    <xf numFmtId="49" fontId="2" fillId="37" borderId="12" xfId="0" applyNumberFormat="1" applyFont="1" applyFill="1" applyBorder="1" applyAlignment="1">
      <alignment horizontal="left"/>
    </xf>
    <xf numFmtId="49" fontId="19" fillId="37" borderId="12" xfId="0" applyNumberFormat="1" applyFont="1" applyFill="1" applyBorder="1" applyAlignment="1">
      <alignment shrinkToFit="1"/>
    </xf>
    <xf numFmtId="202" fontId="15" fillId="37" borderId="12" xfId="0" applyNumberFormat="1" applyFont="1" applyFill="1" applyBorder="1" applyAlignment="1">
      <alignment horizontal="right"/>
    </xf>
    <xf numFmtId="0" fontId="2" fillId="37" borderId="10" xfId="0" applyFont="1" applyFill="1" applyBorder="1" applyAlignment="1">
      <alignment/>
    </xf>
    <xf numFmtId="49" fontId="2" fillId="37" borderId="10" xfId="0" applyNumberFormat="1" applyFont="1" applyFill="1" applyBorder="1" applyAlignment="1">
      <alignment horizontal="left" vertical="center"/>
    </xf>
    <xf numFmtId="49" fontId="19" fillId="37" borderId="10" xfId="0" applyNumberFormat="1" applyFont="1" applyFill="1" applyBorder="1" applyAlignment="1">
      <alignment horizontal="justify" vertical="center" wrapText="1"/>
    </xf>
    <xf numFmtId="49" fontId="19" fillId="37" borderId="10" xfId="0" applyNumberFormat="1" applyFont="1" applyFill="1" applyBorder="1" applyAlignment="1">
      <alignment vertical="center" shrinkToFit="1"/>
    </xf>
    <xf numFmtId="202" fontId="15" fillId="37" borderId="10" xfId="0" applyNumberFormat="1" applyFont="1" applyFill="1" applyBorder="1" applyAlignment="1">
      <alignment horizontal="right" vertical="center"/>
    </xf>
    <xf numFmtId="0" fontId="21" fillId="38" borderId="0" xfId="57" applyFont="1" applyFill="1" applyBorder="1" applyAlignment="1">
      <alignment horizontal="left"/>
      <protection/>
    </xf>
    <xf numFmtId="49" fontId="5" fillId="38" borderId="0" xfId="52" applyNumberFormat="1" applyFont="1" applyFill="1" applyBorder="1" applyAlignment="1">
      <alignment horizontal="left"/>
      <protection/>
    </xf>
    <xf numFmtId="49" fontId="18" fillId="38" borderId="0" xfId="0" applyNumberFormat="1" applyFont="1" applyFill="1" applyBorder="1" applyAlignment="1">
      <alignment shrinkToFit="1"/>
    </xf>
    <xf numFmtId="202" fontId="17" fillId="38" borderId="0" xfId="0" applyNumberFormat="1" applyFont="1" applyFill="1" applyAlignment="1">
      <alignment/>
    </xf>
    <xf numFmtId="0" fontId="0" fillId="38" borderId="0" xfId="0" applyFill="1" applyAlignment="1">
      <alignment/>
    </xf>
    <xf numFmtId="203" fontId="17" fillId="38" borderId="0" xfId="0" applyNumberFormat="1" applyFont="1" applyFill="1" applyAlignment="1">
      <alignment/>
    </xf>
    <xf numFmtId="49" fontId="19" fillId="37" borderId="12" xfId="0" applyNumberFormat="1" applyFont="1" applyFill="1" applyBorder="1" applyAlignment="1">
      <alignment vertical="center" wrapText="1"/>
    </xf>
    <xf numFmtId="49" fontId="19" fillId="37" borderId="10" xfId="0" applyNumberFormat="1" applyFont="1" applyFill="1" applyBorder="1" applyAlignment="1">
      <alignment vertical="center" wrapText="1"/>
    </xf>
    <xf numFmtId="49" fontId="19" fillId="37" borderId="11" xfId="0" applyNumberFormat="1" applyFont="1" applyFill="1" applyBorder="1" applyAlignment="1">
      <alignment vertical="center" wrapText="1"/>
    </xf>
    <xf numFmtId="49" fontId="19" fillId="37" borderId="0" xfId="0" applyNumberFormat="1" applyFont="1" applyFill="1" applyBorder="1" applyAlignment="1">
      <alignment vertical="center" wrapText="1"/>
    </xf>
    <xf numFmtId="49" fontId="2" fillId="37" borderId="11" xfId="0" applyNumberFormat="1" applyFont="1" applyFill="1" applyBorder="1" applyAlignment="1">
      <alignment horizontal="left" vertical="center" wrapText="1"/>
    </xf>
    <xf numFmtId="49" fontId="19" fillId="37" borderId="11" xfId="0" applyNumberFormat="1" applyFont="1" applyFill="1" applyBorder="1" applyAlignment="1">
      <alignment horizontal="left" vertical="center" wrapText="1" shrinkToFit="1"/>
    </xf>
    <xf numFmtId="202" fontId="15" fillId="37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" fillId="40" borderId="0" xfId="58" applyFont="1" applyFill="1" applyAlignment="1">
      <alignment horizontal="center"/>
      <protection/>
    </xf>
  </cellXfs>
  <cellStyles count="56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Autopistes de peatge" xfId="52"/>
    <cellStyle name="Normal_cataleg" xfId="53"/>
    <cellStyle name="Normal_CATALEG_ANUARI_2011" xfId="54"/>
    <cellStyle name="Normal_Full1" xfId="55"/>
    <cellStyle name="Normal_N5-1-1-1" xfId="56"/>
    <cellStyle name="Normal_T5-1-1-5" xfId="57"/>
    <cellStyle name="Normal_T5-1-1-6" xfId="58"/>
    <cellStyle name="Nota" xfId="59"/>
    <cellStyle name="Percent" xfId="60"/>
    <cellStyle name="Resultat" xfId="61"/>
    <cellStyle name="Text d'advertiment" xfId="62"/>
    <cellStyle name="Text explicatiu" xfId="63"/>
    <cellStyle name="Títol" xfId="64"/>
    <cellStyle name="Títol 1" xfId="65"/>
    <cellStyle name="Títol 2" xfId="66"/>
    <cellStyle name="Títol 3" xfId="67"/>
    <cellStyle name="Títol 4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85725</xdr:rowOff>
    </xdr:from>
    <xdr:to>
      <xdr:col>3</xdr:col>
      <xdr:colOff>561975</xdr:colOff>
      <xdr:row>1</xdr:row>
      <xdr:rowOff>95250</xdr:rowOff>
    </xdr:to>
    <xdr:sp>
      <xdr:nvSpPr>
        <xdr:cNvPr id="1" name="Line 5"/>
        <xdr:cNvSpPr>
          <a:spLocks/>
        </xdr:cNvSpPr>
      </xdr:nvSpPr>
      <xdr:spPr>
        <a:xfrm flipV="1">
          <a:off x="7877175" y="285750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171450</xdr:rowOff>
    </xdr:from>
    <xdr:to>
      <xdr:col>5</xdr:col>
      <xdr:colOff>304800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639175" y="3619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3"/>
  <sheetViews>
    <sheetView showGridLines="0" tabSelected="1" zoomScalePageLayoutView="0" workbookViewId="0" topLeftCell="A1">
      <selection activeCell="D16" sqref="D16"/>
    </sheetView>
  </sheetViews>
  <sheetFormatPr defaultColWidth="11.5546875" defaultRowHeight="15"/>
  <cols>
    <col min="1" max="1" width="8.88671875" style="90" customWidth="1"/>
    <col min="2" max="2" width="78.5546875" style="90" customWidth="1"/>
    <col min="3" max="16384" width="11.5546875" style="90" customWidth="1"/>
  </cols>
  <sheetData>
    <row r="1" spans="1:2" ht="18">
      <c r="A1" s="131" t="s">
        <v>360</v>
      </c>
      <c r="B1" s="131" t="s">
        <v>366</v>
      </c>
    </row>
    <row r="2" spans="2:5" ht="15">
      <c r="B2" s="132"/>
      <c r="E2" s="133"/>
    </row>
    <row r="3" spans="1:2" ht="19.5" customHeight="1">
      <c r="A3" s="90" t="s">
        <v>361</v>
      </c>
      <c r="B3" s="224" t="s">
        <v>1828</v>
      </c>
    </row>
    <row r="4" spans="1:2" ht="19.5" customHeight="1">
      <c r="A4" s="90" t="s">
        <v>362</v>
      </c>
      <c r="B4" s="224" t="s">
        <v>1829</v>
      </c>
    </row>
    <row r="5" spans="1:2" ht="19.5" customHeight="1">
      <c r="A5" s="90" t="s">
        <v>363</v>
      </c>
      <c r="B5" s="224" t="s">
        <v>1830</v>
      </c>
    </row>
    <row r="6" spans="1:2" ht="19.5" customHeight="1">
      <c r="A6" s="90" t="s">
        <v>364</v>
      </c>
      <c r="B6" s="224" t="s">
        <v>1831</v>
      </c>
    </row>
    <row r="7" spans="1:2" ht="19.5" customHeight="1">
      <c r="A7" s="90" t="s">
        <v>365</v>
      </c>
      <c r="B7" s="224" t="s">
        <v>1832</v>
      </c>
    </row>
    <row r="8" spans="1:2" ht="19.5" customHeight="1">
      <c r="A8" s="90" t="s">
        <v>675</v>
      </c>
      <c r="B8" s="224" t="s">
        <v>1823</v>
      </c>
    </row>
    <row r="9" spans="1:2" ht="19.5" customHeight="1">
      <c r="A9" s="90" t="s">
        <v>676</v>
      </c>
      <c r="B9" s="224" t="s">
        <v>1824</v>
      </c>
    </row>
    <row r="10" spans="1:2" ht="19.5" customHeight="1">
      <c r="A10" s="90" t="s">
        <v>677</v>
      </c>
      <c r="B10" s="224" t="s">
        <v>1825</v>
      </c>
    </row>
    <row r="11" spans="1:2" ht="19.5" customHeight="1">
      <c r="A11" s="163"/>
      <c r="B11" s="163"/>
    </row>
    <row r="44" spans="29:31" ht="15">
      <c r="AC44" s="248"/>
      <c r="AD44" s="248"/>
      <c r="AE44" s="248"/>
    </row>
    <row r="45" spans="29:31" ht="15">
      <c r="AC45" s="248"/>
      <c r="AD45" s="248"/>
      <c r="AE45" s="248"/>
    </row>
    <row r="46" spans="29:31" ht="15">
      <c r="AC46" s="248"/>
      <c r="AD46" s="248"/>
      <c r="AE46" s="248"/>
    </row>
    <row r="813" spans="3:4" ht="15">
      <c r="C813" s="257"/>
      <c r="D813" s="257"/>
    </row>
  </sheetData>
  <sheetProtection/>
  <printOptions/>
  <pageMargins left="0.1968503937007874" right="0.75" top="0.5511811023622047" bottom="0.984251968503937" header="0" footer="0"/>
  <pageSetup fitToHeight="1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3"/>
  <sheetViews>
    <sheetView showGridLines="0" zoomScalePageLayoutView="0" workbookViewId="0" topLeftCell="A1">
      <selection activeCell="D16" sqref="D16"/>
    </sheetView>
  </sheetViews>
  <sheetFormatPr defaultColWidth="9.77734375" defaultRowHeight="12.75" customHeight="1"/>
  <cols>
    <col min="1" max="1" width="20.10546875" style="4" customWidth="1"/>
    <col min="2" max="2" width="6.3359375" style="21" hidden="1" customWidth="1"/>
    <col min="3" max="7" width="6.88671875" style="21" hidden="1" customWidth="1"/>
    <col min="8" max="8" width="6.21484375" style="4" hidden="1" customWidth="1"/>
    <col min="9" max="10" width="6.4453125" style="4" hidden="1" customWidth="1"/>
    <col min="11" max="11" width="6.4453125" style="58" hidden="1" customWidth="1"/>
    <col min="12" max="12" width="6.4453125" style="21" hidden="1" customWidth="1"/>
    <col min="13" max="19" width="6.4453125" style="4" customWidth="1"/>
    <col min="20" max="28" width="5.77734375" style="4" customWidth="1"/>
    <col min="29" max="16384" width="9.77734375" style="4" customWidth="1"/>
  </cols>
  <sheetData>
    <row r="1" spans="1:19" ht="15">
      <c r="A1" s="1" t="s">
        <v>1826</v>
      </c>
      <c r="B1" s="2"/>
      <c r="C1" s="2"/>
      <c r="D1" s="2"/>
      <c r="E1" s="3"/>
      <c r="F1" s="3"/>
      <c r="G1" s="3"/>
      <c r="S1" s="160"/>
    </row>
    <row r="2" spans="1:12" s="8" customFormat="1" ht="12.75" customHeight="1">
      <c r="A2" s="5"/>
      <c r="B2" s="6"/>
      <c r="C2" s="6"/>
      <c r="D2" s="6"/>
      <c r="E2" s="7"/>
      <c r="G2" s="7"/>
      <c r="K2" s="59"/>
      <c r="L2" s="36"/>
    </row>
    <row r="3" spans="1:12" s="8" customFormat="1" ht="12.75" customHeight="1">
      <c r="A3" s="5"/>
      <c r="B3" s="6" t="s">
        <v>1767</v>
      </c>
      <c r="C3" s="6"/>
      <c r="D3" s="6"/>
      <c r="E3" s="7"/>
      <c r="G3" s="7"/>
      <c r="K3" s="59"/>
      <c r="L3" s="36"/>
    </row>
    <row r="4" spans="1:28" s="9" customFormat="1" ht="12.75" customHeight="1">
      <c r="A4" s="10"/>
      <c r="B4" s="11" t="s">
        <v>1768</v>
      </c>
      <c r="C4" s="11"/>
      <c r="D4" s="11"/>
      <c r="E4" s="11"/>
      <c r="F4" s="10"/>
      <c r="G4" s="12"/>
      <c r="H4" s="13"/>
      <c r="I4" s="13"/>
      <c r="J4" s="10"/>
      <c r="K4" s="10"/>
      <c r="N4" s="99"/>
      <c r="Q4" s="99"/>
      <c r="R4" s="99"/>
      <c r="T4" s="99"/>
      <c r="V4" s="99"/>
      <c r="W4" s="99"/>
      <c r="X4" s="99"/>
      <c r="Y4" s="99"/>
      <c r="Z4" s="225"/>
      <c r="AA4" s="225"/>
      <c r="AB4" s="225" t="s">
        <v>252</v>
      </c>
    </row>
    <row r="5" spans="1:28" s="10" customFormat="1" ht="18" customHeight="1">
      <c r="A5" s="258" t="s">
        <v>254</v>
      </c>
      <c r="B5" s="259" t="s">
        <v>1769</v>
      </c>
      <c r="C5" s="259">
        <v>1991</v>
      </c>
      <c r="D5" s="259">
        <v>1992</v>
      </c>
      <c r="E5" s="260">
        <v>1993</v>
      </c>
      <c r="F5" s="259">
        <v>1994</v>
      </c>
      <c r="G5" s="260">
        <v>1995</v>
      </c>
      <c r="H5" s="260">
        <v>1996</v>
      </c>
      <c r="I5" s="260">
        <v>1997</v>
      </c>
      <c r="J5" s="260">
        <v>1998</v>
      </c>
      <c r="K5" s="261">
        <v>1999</v>
      </c>
      <c r="L5" s="262">
        <v>2000</v>
      </c>
      <c r="M5" s="263">
        <v>2001</v>
      </c>
      <c r="N5" s="263">
        <v>2002</v>
      </c>
      <c r="O5" s="263">
        <v>2003</v>
      </c>
      <c r="P5" s="263">
        <v>2004</v>
      </c>
      <c r="Q5" s="263">
        <v>2005</v>
      </c>
      <c r="R5" s="263">
        <v>2006</v>
      </c>
      <c r="S5" s="263">
        <v>2007</v>
      </c>
      <c r="T5" s="263">
        <v>2008</v>
      </c>
      <c r="U5" s="263">
        <v>2009</v>
      </c>
      <c r="V5" s="263">
        <v>2010</v>
      </c>
      <c r="W5" s="263">
        <v>2011</v>
      </c>
      <c r="X5" s="263">
        <v>2012</v>
      </c>
      <c r="Y5" s="263">
        <v>2013</v>
      </c>
      <c r="Z5" s="263">
        <v>2014</v>
      </c>
      <c r="AA5" s="263" t="s">
        <v>1781</v>
      </c>
      <c r="AB5" s="263">
        <v>2016</v>
      </c>
    </row>
    <row r="6" spans="1:7" ht="12">
      <c r="A6" s="15"/>
      <c r="B6" s="16" t="s">
        <v>1770</v>
      </c>
      <c r="C6" s="16"/>
      <c r="D6" s="16"/>
      <c r="E6" s="17"/>
      <c r="F6" s="17"/>
      <c r="G6" s="17"/>
    </row>
    <row r="7" spans="1:28" s="10" customFormat="1" ht="12">
      <c r="A7" s="264" t="s">
        <v>255</v>
      </c>
      <c r="B7" s="265" t="s">
        <v>1771</v>
      </c>
      <c r="C7" s="265">
        <f aca="true" t="shared" si="0" ref="C7:O7">SUM(C8:C11)</f>
        <v>5076</v>
      </c>
      <c r="D7" s="265">
        <f t="shared" si="0"/>
        <v>5122</v>
      </c>
      <c r="E7" s="265">
        <f t="shared" si="0"/>
        <v>5220.565</v>
      </c>
      <c r="F7" s="265">
        <f t="shared" si="0"/>
        <v>5259.792</v>
      </c>
      <c r="G7" s="265">
        <f t="shared" si="0"/>
        <v>5380.9490000000005</v>
      </c>
      <c r="H7" s="265">
        <f t="shared" si="0"/>
        <v>5386</v>
      </c>
      <c r="I7" s="265">
        <f t="shared" si="0"/>
        <v>5441.754</v>
      </c>
      <c r="J7" s="265">
        <f t="shared" si="0"/>
        <v>5477.099999999999</v>
      </c>
      <c r="K7" s="265">
        <f t="shared" si="0"/>
        <v>5491.79</v>
      </c>
      <c r="L7" s="265">
        <f t="shared" si="0"/>
        <v>5505.028</v>
      </c>
      <c r="M7" s="265">
        <f t="shared" si="0"/>
        <v>5559.447</v>
      </c>
      <c r="N7" s="266">
        <f t="shared" si="0"/>
        <v>5590.19</v>
      </c>
      <c r="O7" s="266">
        <f t="shared" si="0"/>
        <v>5615.465</v>
      </c>
      <c r="P7" s="266">
        <f aca="true" t="shared" si="1" ref="P7:V7">SUM(P8:P11)</f>
        <v>5703.681</v>
      </c>
      <c r="Q7" s="266">
        <f t="shared" si="1"/>
        <v>5645.799</v>
      </c>
      <c r="R7" s="266">
        <f t="shared" si="1"/>
        <v>5892.816</v>
      </c>
      <c r="S7" s="266">
        <f t="shared" si="1"/>
        <v>5781.646000000001</v>
      </c>
      <c r="T7" s="266">
        <f t="shared" si="1"/>
        <v>5900.103</v>
      </c>
      <c r="U7" s="266">
        <f t="shared" si="1"/>
        <v>5839.660000000001</v>
      </c>
      <c r="V7" s="266">
        <f t="shared" si="1"/>
        <v>5963.058</v>
      </c>
      <c r="W7" s="266">
        <f aca="true" t="shared" si="2" ref="W7:AB7">SUM(W8:W11)</f>
        <v>6072.4439999999995</v>
      </c>
      <c r="X7" s="266">
        <f t="shared" si="2"/>
        <v>6079.258</v>
      </c>
      <c r="Y7" s="266">
        <f t="shared" si="2"/>
        <v>6070</v>
      </c>
      <c r="Z7" s="266">
        <f t="shared" si="2"/>
        <v>6082.721</v>
      </c>
      <c r="AA7" s="266">
        <f t="shared" si="2"/>
        <v>6012.3</v>
      </c>
      <c r="AB7" s="266">
        <f t="shared" si="2"/>
        <v>6007.9</v>
      </c>
    </row>
    <row r="8" spans="1:28" ht="12">
      <c r="A8" s="20" t="s">
        <v>300</v>
      </c>
      <c r="B8" s="2" t="s">
        <v>1772</v>
      </c>
      <c r="C8" s="2">
        <v>112</v>
      </c>
      <c r="D8" s="2">
        <v>114</v>
      </c>
      <c r="E8" s="3">
        <v>101</v>
      </c>
      <c r="F8" s="3">
        <v>103.341</v>
      </c>
      <c r="G8" s="3">
        <v>165.349</v>
      </c>
      <c r="H8" s="21">
        <v>163</v>
      </c>
      <c r="I8" s="21">
        <v>166.711</v>
      </c>
      <c r="J8" s="21">
        <v>197.7</v>
      </c>
      <c r="K8" s="21">
        <v>215.2</v>
      </c>
      <c r="L8" s="21">
        <v>165</v>
      </c>
      <c r="M8" s="21">
        <v>165</v>
      </c>
      <c r="N8" s="36">
        <v>165</v>
      </c>
      <c r="O8" s="36">
        <v>165</v>
      </c>
      <c r="P8" s="21">
        <v>164.561</v>
      </c>
      <c r="Q8" s="21">
        <v>165</v>
      </c>
      <c r="R8" s="21">
        <v>165</v>
      </c>
      <c r="S8" s="21">
        <f>'5.1.2'!T7+'5.1.3'!T7+'5.1.4'!S7+'5.1.5'!S7</f>
        <v>164.59</v>
      </c>
      <c r="T8" s="58">
        <v>165</v>
      </c>
      <c r="U8" s="58">
        <v>165</v>
      </c>
      <c r="V8" s="58">
        <v>169.374</v>
      </c>
      <c r="W8" s="112">
        <f>'5.1.2'!X7+'5.1.3'!X7+'5.1.4'!W7+'5.1.5'!W7</f>
        <v>168.256</v>
      </c>
      <c r="X8" s="112">
        <f>'5.1.2'!Y7+'5.1.3'!Y7+'5.1.4'!X7+'5.1.5'!X7</f>
        <v>168.25599999999997</v>
      </c>
      <c r="Y8" s="112">
        <f>'5.1.2'!Z7+'5.1.3'!Z7+'5.1.4'!Y7+'5.1.5'!Y7</f>
        <v>169</v>
      </c>
      <c r="Z8" s="112">
        <f>'5.1.2'!AA7+'5.1.3'!AA7+'5.1.4'!Z7+'5.1.5'!Z7</f>
        <v>168.587</v>
      </c>
      <c r="AA8" s="112">
        <f>'5.1.2'!AB7+'5.1.3'!AB7+'5.1.4'!AA7+'5.1.5'!AA7</f>
        <v>170</v>
      </c>
      <c r="AB8" s="112">
        <f>'5.1.2'!AC7+'5.1.3'!AC7+'5.1.4'!AB7+'5.1.5'!AB7</f>
        <v>170</v>
      </c>
    </row>
    <row r="9" spans="1:28" ht="12">
      <c r="A9" s="268" t="s">
        <v>301</v>
      </c>
      <c r="B9" s="269" t="s">
        <v>1773</v>
      </c>
      <c r="C9" s="269">
        <v>117</v>
      </c>
      <c r="D9" s="269">
        <v>53</v>
      </c>
      <c r="E9" s="270">
        <v>88</v>
      </c>
      <c r="F9" s="270">
        <v>50.497</v>
      </c>
      <c r="G9" s="270">
        <v>62.365</v>
      </c>
      <c r="H9" s="271">
        <v>146</v>
      </c>
      <c r="I9" s="271">
        <f>60.096+85.296</f>
        <v>145.392</v>
      </c>
      <c r="J9" s="271">
        <f>60.1+86</f>
        <v>146.1</v>
      </c>
      <c r="K9" s="271">
        <v>56.5</v>
      </c>
      <c r="L9" s="271">
        <v>138.628</v>
      </c>
      <c r="M9" s="271">
        <v>138.627</v>
      </c>
      <c r="N9" s="272">
        <v>140.712</v>
      </c>
      <c r="O9" s="272">
        <v>140.712</v>
      </c>
      <c r="P9" s="271">
        <v>157.637</v>
      </c>
      <c r="Q9" s="271">
        <v>184.9</v>
      </c>
      <c r="R9" s="271">
        <v>202.88</v>
      </c>
      <c r="S9" s="271">
        <v>204.98</v>
      </c>
      <c r="T9" s="273">
        <v>244.685</v>
      </c>
      <c r="U9" s="273">
        <v>244.685</v>
      </c>
      <c r="V9" s="273">
        <v>245.135</v>
      </c>
      <c r="W9" s="274">
        <f>'5.1.2'!X8+'5.1.3'!X8+'5.1.4'!W8+'5.1.5'!W8</f>
        <v>298.86899999999997</v>
      </c>
      <c r="X9" s="274">
        <f>'5.1.2'!Y8+'5.1.3'!Y8+'5.1.4'!X8+'5.1.5'!X8</f>
        <v>299.12799999999993</v>
      </c>
      <c r="Y9" s="274">
        <f>'5.1.2'!Z8+'5.1.3'!Z8+'5.1.4'!Y8+'5.1.5'!Y8</f>
        <v>447</v>
      </c>
      <c r="Z9" s="274">
        <f>'5.1.2'!AA8+'5.1.3'!AA8+'5.1.4'!Z8+'5.1.5'!Z8</f>
        <v>435.118</v>
      </c>
      <c r="AA9" s="274">
        <f>'5.1.2'!AB8+'5.1.3'!AB8+'5.1.4'!AA8+'5.1.5'!AA8</f>
        <v>431.9</v>
      </c>
      <c r="AB9" s="274">
        <f>'5.1.2'!AC8+'5.1.3'!AC8+'5.1.4'!AB8+'5.1.5'!AB8</f>
        <v>429.4</v>
      </c>
    </row>
    <row r="10" spans="1:28" ht="12">
      <c r="A10" s="20" t="s">
        <v>1794</v>
      </c>
      <c r="B10" s="2" t="s">
        <v>1774</v>
      </c>
      <c r="C10" s="2">
        <v>75</v>
      </c>
      <c r="D10" s="2">
        <v>138</v>
      </c>
      <c r="E10" s="3">
        <v>125</v>
      </c>
      <c r="F10" s="3">
        <v>110.52</v>
      </c>
      <c r="G10" s="3">
        <v>119.205</v>
      </c>
      <c r="H10" s="21">
        <v>35</v>
      </c>
      <c r="I10" s="21">
        <v>44.459</v>
      </c>
      <c r="J10" s="21">
        <v>50.4</v>
      </c>
      <c r="K10" s="21">
        <v>123.49</v>
      </c>
      <c r="L10" s="21">
        <v>34.453</v>
      </c>
      <c r="M10" s="21">
        <v>58.81</v>
      </c>
      <c r="N10" s="36">
        <v>58.81</v>
      </c>
      <c r="O10" s="36">
        <v>64.877</v>
      </c>
      <c r="P10" s="21">
        <v>64.877</v>
      </c>
      <c r="Q10" s="21">
        <v>70.63</v>
      </c>
      <c r="R10" s="21">
        <v>70.63</v>
      </c>
      <c r="S10" s="21">
        <v>78.651</v>
      </c>
      <c r="T10" s="58">
        <v>79.147</v>
      </c>
      <c r="U10" s="58">
        <v>84.964</v>
      </c>
      <c r="V10" s="58">
        <v>94.101</v>
      </c>
      <c r="W10" s="112">
        <f>'5.1.2'!X9+'5.1.3'!X9+'5.1.4'!W9+'5.1.5'!W9</f>
        <v>77.319</v>
      </c>
      <c r="X10" s="112">
        <f>'5.1.2'!Y9+'5.1.3'!Y9+'5.1.4'!X9+'5.1.5'!X9</f>
        <v>79.074</v>
      </c>
      <c r="Y10" s="112">
        <f>'5.1.2'!Z9+'5.1.3'!Z9+'5.1.4'!Y9+'5.1.5'!Y9</f>
        <v>84</v>
      </c>
      <c r="Z10" s="112">
        <f>'5.1.2'!AA9+'5.1.3'!AA9+'5.1.4'!Z9+'5.1.5'!Z9</f>
        <v>92.762</v>
      </c>
      <c r="AA10" s="112">
        <f>'5.1.2'!AB9+'5.1.3'!AB9+'5.1.4'!AA9+'5.1.5'!AA9</f>
        <v>97.4</v>
      </c>
      <c r="AB10" s="112">
        <f>'5.1.2'!AC9+'5.1.3'!AC9+'5.1.4'!AB9+'5.1.5'!AB9</f>
        <v>98.5</v>
      </c>
    </row>
    <row r="11" spans="1:28" ht="12">
      <c r="A11" s="268" t="s">
        <v>258</v>
      </c>
      <c r="B11" s="270">
        <f aca="true" t="shared" si="3" ref="B11:K11">SUM(B12:B14)</f>
        <v>4428</v>
      </c>
      <c r="C11" s="270">
        <f t="shared" si="3"/>
        <v>4772</v>
      </c>
      <c r="D11" s="270">
        <f t="shared" si="3"/>
        <v>4817</v>
      </c>
      <c r="E11" s="270">
        <f t="shared" si="3"/>
        <v>4906.565</v>
      </c>
      <c r="F11" s="270">
        <f t="shared" si="3"/>
        <v>4995.434</v>
      </c>
      <c r="G11" s="270">
        <f t="shared" si="3"/>
        <v>5034.030000000001</v>
      </c>
      <c r="H11" s="270">
        <f t="shared" si="3"/>
        <v>5042</v>
      </c>
      <c r="I11" s="270">
        <f t="shared" si="3"/>
        <v>5085.192</v>
      </c>
      <c r="J11" s="270">
        <f t="shared" si="3"/>
        <v>5082.9</v>
      </c>
      <c r="K11" s="270">
        <f t="shared" si="3"/>
        <v>5096.6</v>
      </c>
      <c r="L11" s="270">
        <v>5166.947</v>
      </c>
      <c r="M11" s="270">
        <v>5197.01</v>
      </c>
      <c r="N11" s="270">
        <v>5225.668</v>
      </c>
      <c r="O11" s="270">
        <v>5244.876</v>
      </c>
      <c r="P11" s="270">
        <v>5316.606</v>
      </c>
      <c r="Q11" s="270">
        <v>5225.269</v>
      </c>
      <c r="R11" s="270">
        <v>5454.306</v>
      </c>
      <c r="S11" s="270">
        <v>5333.425</v>
      </c>
      <c r="T11" s="271">
        <v>5411.271</v>
      </c>
      <c r="U11" s="271">
        <v>5345.011</v>
      </c>
      <c r="V11" s="273">
        <v>5454.448</v>
      </c>
      <c r="W11" s="274">
        <f>'5.1.2'!X10+'5.1.3'!X10+'5.1.4'!W10+'5.1.5'!W10</f>
        <v>5528</v>
      </c>
      <c r="X11" s="274">
        <f>'5.1.2'!Y10+'5.1.3'!Y10+'5.1.4'!X10+'5.1.5'!X10</f>
        <v>5532.8</v>
      </c>
      <c r="Y11" s="274">
        <f>'5.1.2'!Z10+'5.1.3'!Z10+'5.1.4'!Y10+'5.1.5'!Y10</f>
        <v>5370</v>
      </c>
      <c r="Z11" s="274">
        <f>'5.1.2'!AA10+'5.1.3'!AA10+'5.1.4'!Z10+'5.1.5'!Z10</f>
        <v>5386.254</v>
      </c>
      <c r="AA11" s="274">
        <f>'5.1.2'!AB10+'5.1.3'!AB10+'5.1.4'!AA10+'5.1.5'!AA10</f>
        <v>5313</v>
      </c>
      <c r="AB11" s="274">
        <f>'5.1.2'!AC10+'5.1.3'!AC10+'5.1.4'!AB10+'5.1.5'!AB10</f>
        <v>5310</v>
      </c>
    </row>
    <row r="12" spans="1:28" s="26" customFormat="1" ht="12" hidden="1">
      <c r="A12" s="22" t="s">
        <v>259</v>
      </c>
      <c r="B12" s="23">
        <v>171</v>
      </c>
      <c r="C12" s="23">
        <v>231</v>
      </c>
      <c r="D12" s="23">
        <v>216</v>
      </c>
      <c r="E12" s="24">
        <v>246</v>
      </c>
      <c r="F12" s="24">
        <v>245.73700000000002</v>
      </c>
      <c r="G12" s="24">
        <v>245.73700000000002</v>
      </c>
      <c r="H12" s="25">
        <v>207</v>
      </c>
      <c r="I12" s="25">
        <v>205.598</v>
      </c>
      <c r="J12" s="25">
        <v>205.6</v>
      </c>
      <c r="K12" s="25">
        <v>1523</v>
      </c>
      <c r="L12" s="79">
        <v>1370.504</v>
      </c>
      <c r="M12" s="25">
        <v>1374.546</v>
      </c>
      <c r="N12" s="104">
        <v>1373.448</v>
      </c>
      <c r="O12" s="104">
        <f>1373.454</f>
        <v>1373.454</v>
      </c>
      <c r="P12" s="79">
        <f>'5.1.2'!Q11+'5.1.3'!Q11+'5.1.4'!P11+'5.1.5'!P11</f>
        <v>1400.145</v>
      </c>
      <c r="Q12" s="25">
        <v>1379.743</v>
      </c>
      <c r="R12" s="25">
        <v>1381</v>
      </c>
      <c r="S12" s="25">
        <v>1381</v>
      </c>
      <c r="T12" s="25">
        <v>1339</v>
      </c>
      <c r="U12" s="25"/>
      <c r="X12" s="25"/>
      <c r="Y12" s="25"/>
      <c r="Z12" s="25"/>
      <c r="AA12" s="25"/>
      <c r="AB12" s="25"/>
    </row>
    <row r="13" spans="1:28" s="26" customFormat="1" ht="12" hidden="1">
      <c r="A13" s="22" t="s">
        <v>260</v>
      </c>
      <c r="B13" s="23">
        <v>3538</v>
      </c>
      <c r="C13" s="23">
        <v>2932</v>
      </c>
      <c r="D13" s="23">
        <v>2957</v>
      </c>
      <c r="E13" s="24">
        <v>4607</v>
      </c>
      <c r="F13" s="24">
        <v>2738.163</v>
      </c>
      <c r="G13" s="24">
        <v>2738.422</v>
      </c>
      <c r="H13" s="25">
        <v>2749</v>
      </c>
      <c r="I13" s="25">
        <f>2722.094+0.447</f>
        <v>2722.541</v>
      </c>
      <c r="J13" s="25">
        <f>5+2719.9</f>
        <v>2724.9</v>
      </c>
      <c r="K13" s="25">
        <f>1375.3+29.9</f>
        <v>1405.2</v>
      </c>
      <c r="L13" s="79">
        <f>1305.816+26.579</f>
        <v>1332.395</v>
      </c>
      <c r="M13" s="25">
        <f>1303.95+27.746</f>
        <v>1331.6960000000001</v>
      </c>
      <c r="N13" s="104">
        <f>239.796+3459.502</f>
        <v>3699.298</v>
      </c>
      <c r="O13" s="104">
        <f>253.135+3468.378</f>
        <v>3721.513</v>
      </c>
      <c r="P13" s="79">
        <f>'5.1.2'!Q12+'5.1.3'!Q12+'5.1.4'!P12+'5.1.5'!P12</f>
        <v>3777.964</v>
      </c>
      <c r="Q13" s="25">
        <f>247.555+3455.026</f>
        <v>3702.5809999999997</v>
      </c>
      <c r="R13" s="25">
        <v>3701</v>
      </c>
      <c r="S13" s="25">
        <v>3842</v>
      </c>
      <c r="T13" s="25">
        <v>3883</v>
      </c>
      <c r="U13" s="25"/>
      <c r="X13" s="25"/>
      <c r="Y13" s="25"/>
      <c r="Z13" s="25"/>
      <c r="AA13" s="25"/>
      <c r="AB13" s="25"/>
    </row>
    <row r="14" spans="1:28" s="26" customFormat="1" ht="12" hidden="1">
      <c r="A14" s="22" t="s">
        <v>261</v>
      </c>
      <c r="B14" s="23">
        <v>719</v>
      </c>
      <c r="C14" s="23">
        <v>1609</v>
      </c>
      <c r="D14" s="23">
        <v>1644</v>
      </c>
      <c r="E14" s="24">
        <v>53.565</v>
      </c>
      <c r="F14" s="24">
        <v>2011.5339999999999</v>
      </c>
      <c r="G14" s="24">
        <v>2049.871</v>
      </c>
      <c r="H14" s="25">
        <v>2086</v>
      </c>
      <c r="I14" s="25">
        <f>176.986+1980.067</f>
        <v>2157.053</v>
      </c>
      <c r="J14" s="25">
        <f>1971.8+180.6</f>
        <v>2152.4</v>
      </c>
      <c r="K14" s="25">
        <f>1936+232.4</f>
        <v>2168.4</v>
      </c>
      <c r="L14" s="79">
        <f>2176.971+232.813</f>
        <v>2409.784</v>
      </c>
      <c r="M14" s="25">
        <f>234.614+2201.69</f>
        <v>2436.304</v>
      </c>
      <c r="N14" s="104">
        <f>20.987+83.073</f>
        <v>104.05999999999999</v>
      </c>
      <c r="O14" s="104">
        <f>20.894+81.37</f>
        <v>102.26400000000001</v>
      </c>
      <c r="P14" s="79">
        <f>'5.1.2'!Q13+'5.1.3'!Q13+'5.1.4'!P13+'5.1.5'!P13</f>
        <v>104.471</v>
      </c>
      <c r="Q14" s="25">
        <f>21.792+81.256</f>
        <v>103.048</v>
      </c>
      <c r="R14" s="25">
        <v>104</v>
      </c>
      <c r="S14" s="25">
        <v>104</v>
      </c>
      <c r="T14" s="26">
        <v>104</v>
      </c>
      <c r="X14" s="25"/>
      <c r="Y14" s="25"/>
      <c r="Z14" s="25"/>
      <c r="AA14" s="25"/>
      <c r="AB14" s="25"/>
    </row>
    <row r="15" spans="1:28" ht="12">
      <c r="A15" s="15"/>
      <c r="B15" s="2"/>
      <c r="C15" s="2"/>
      <c r="D15" s="2"/>
      <c r="E15" s="3"/>
      <c r="H15" s="21"/>
      <c r="I15" s="21"/>
      <c r="J15" s="21"/>
      <c r="K15" s="21"/>
      <c r="M15" s="21"/>
      <c r="N15" s="36"/>
      <c r="O15" s="36"/>
      <c r="V15" s="160"/>
      <c r="X15" s="112"/>
      <c r="Y15" s="112"/>
      <c r="Z15" s="112"/>
      <c r="AA15" s="112"/>
      <c r="AB15" s="112"/>
    </row>
    <row r="16" spans="1:28" s="10" customFormat="1" ht="12">
      <c r="A16" s="264" t="s">
        <v>262</v>
      </c>
      <c r="B16" s="267">
        <f aca="true" t="shared" si="4" ref="B16:Q16">SUM(B17:B20)</f>
        <v>1740</v>
      </c>
      <c r="C16" s="267">
        <f t="shared" si="4"/>
        <v>1743</v>
      </c>
      <c r="D16" s="267">
        <f t="shared" si="4"/>
        <v>1814</v>
      </c>
      <c r="E16" s="267">
        <f t="shared" si="4"/>
        <v>1820</v>
      </c>
      <c r="F16" s="267">
        <f t="shared" si="4"/>
        <v>1907</v>
      </c>
      <c r="G16" s="267">
        <f t="shared" si="4"/>
        <v>1934</v>
      </c>
      <c r="H16" s="267">
        <f t="shared" si="4"/>
        <v>1902</v>
      </c>
      <c r="I16" s="267">
        <f t="shared" si="4"/>
        <v>1913</v>
      </c>
      <c r="J16" s="267">
        <f t="shared" si="4"/>
        <v>1928</v>
      </c>
      <c r="K16" s="267">
        <f t="shared" si="4"/>
        <v>1934</v>
      </c>
      <c r="L16" s="267">
        <f t="shared" si="4"/>
        <v>1962</v>
      </c>
      <c r="M16" s="267">
        <f t="shared" si="4"/>
        <v>1975</v>
      </c>
      <c r="N16" s="267">
        <f t="shared" si="4"/>
        <v>1978</v>
      </c>
      <c r="O16" s="267">
        <f t="shared" si="4"/>
        <v>1988</v>
      </c>
      <c r="P16" s="267">
        <f t="shared" si="4"/>
        <v>2008</v>
      </c>
      <c r="Q16" s="267">
        <f t="shared" si="4"/>
        <v>2013</v>
      </c>
      <c r="R16" s="267">
        <f aca="true" t="shared" si="5" ref="R16:W16">SUM(R17:R20)</f>
        <v>2015</v>
      </c>
      <c r="S16" s="267">
        <f t="shared" si="5"/>
        <v>1979</v>
      </c>
      <c r="T16" s="267">
        <f t="shared" si="5"/>
        <v>1794</v>
      </c>
      <c r="U16" s="267">
        <f>SUM(U17:U20)+1</f>
        <v>1819.4</v>
      </c>
      <c r="V16" s="267">
        <f t="shared" si="5"/>
        <v>1779</v>
      </c>
      <c r="W16" s="267">
        <f t="shared" si="5"/>
        <v>1779.6</v>
      </c>
      <c r="X16" s="267">
        <f>SUM(X17:X20)</f>
        <v>1795.9099999999999</v>
      </c>
      <c r="Y16" s="267">
        <f>SUM(Y17:Y20)</f>
        <v>1802.98</v>
      </c>
      <c r="Z16" s="267">
        <f>SUM(Z17:Z20)</f>
        <v>1803.4</v>
      </c>
      <c r="AA16" s="267">
        <f>SUM(AA17:AA20)</f>
        <v>1815</v>
      </c>
      <c r="AB16" s="267">
        <f>SUM(AB17:AB20)</f>
        <v>1799.1</v>
      </c>
    </row>
    <row r="17" spans="1:28" ht="12">
      <c r="A17" s="20" t="s">
        <v>256</v>
      </c>
      <c r="B17" s="2">
        <v>487</v>
      </c>
      <c r="C17" s="2">
        <v>488</v>
      </c>
      <c r="D17" s="2">
        <v>487</v>
      </c>
      <c r="E17" s="3">
        <v>487</v>
      </c>
      <c r="F17" s="3">
        <v>526</v>
      </c>
      <c r="G17" s="21">
        <v>526</v>
      </c>
      <c r="H17" s="21">
        <v>461</v>
      </c>
      <c r="I17" s="21">
        <v>461</v>
      </c>
      <c r="J17" s="21">
        <v>461</v>
      </c>
      <c r="K17" s="21">
        <v>461</v>
      </c>
      <c r="L17" s="112">
        <v>461</v>
      </c>
      <c r="M17" s="112">
        <v>461</v>
      </c>
      <c r="N17" s="113">
        <v>461</v>
      </c>
      <c r="O17" s="113">
        <v>459</v>
      </c>
      <c r="P17" s="112">
        <f>'5.1.2'!Q16+'5.1.3'!Q16+'5.1.4'!P16+'5.1.5'!P16</f>
        <v>459</v>
      </c>
      <c r="Q17" s="134">
        <v>459</v>
      </c>
      <c r="R17" s="134">
        <v>459</v>
      </c>
      <c r="S17" s="134">
        <v>459</v>
      </c>
      <c r="T17" s="112">
        <f>'5.1.2'!U16+'5.1.3'!U16+'5.1.4'!T16+'5.1.5'!T16</f>
        <v>463</v>
      </c>
      <c r="U17" s="120">
        <v>463.2</v>
      </c>
      <c r="V17" s="112">
        <f>'5.1.2'!W16+'5.1.3'!W16+'5.1.4'!V16+'5.1.5'!V16</f>
        <v>463</v>
      </c>
      <c r="W17" s="112">
        <f>'5.1.2'!X16+'5.1.3'!X16+'5.1.4'!W16+'5.1.5'!W16</f>
        <v>463.3</v>
      </c>
      <c r="X17" s="112">
        <f>'5.1.2'!Y16+'5.1.3'!Y16+'5.1.4'!X16+'5.1.5'!X16</f>
        <v>463.3</v>
      </c>
      <c r="Y17" s="112">
        <f>'5.1.2'!Z16+'5.1.3'!Z16+'5.1.4'!Y16+'5.1.5'!Y16</f>
        <v>462.93</v>
      </c>
      <c r="Z17" s="112">
        <f>'5.1.2'!AA16+'5.1.3'!AA16+'5.1.4'!Z16+'5.1.5'!Z16</f>
        <v>463</v>
      </c>
      <c r="AA17" s="112">
        <f>'5.1.2'!AB16+'5.1.3'!AB16+'5.1.4'!AA16+'5.1.5'!AA16</f>
        <v>463</v>
      </c>
      <c r="AB17" s="112">
        <f>'5.1.2'!AC16+'5.1.3'!AC16+'5.1.4'!AB16+'5.1.5'!AB16</f>
        <v>463.6</v>
      </c>
    </row>
    <row r="18" spans="1:28" ht="12">
      <c r="A18" s="268" t="s">
        <v>257</v>
      </c>
      <c r="B18" s="269">
        <v>89</v>
      </c>
      <c r="C18" s="269">
        <v>109</v>
      </c>
      <c r="D18" s="269">
        <v>176</v>
      </c>
      <c r="E18" s="270">
        <v>176</v>
      </c>
      <c r="F18" s="270">
        <v>134</v>
      </c>
      <c r="G18" s="271">
        <v>134</v>
      </c>
      <c r="H18" s="271">
        <v>168</v>
      </c>
      <c r="I18" s="271">
        <v>171</v>
      </c>
      <c r="J18" s="271">
        <v>189</v>
      </c>
      <c r="K18" s="271">
        <v>189</v>
      </c>
      <c r="L18" s="274">
        <v>211</v>
      </c>
      <c r="M18" s="274">
        <v>226</v>
      </c>
      <c r="N18" s="275">
        <v>231</v>
      </c>
      <c r="O18" s="275">
        <v>252</v>
      </c>
      <c r="P18" s="274">
        <f>'5.1.2'!Q17+'5.1.3'!Q17+'5.1.4'!P17+'5.1.5'!P17</f>
        <v>272</v>
      </c>
      <c r="Q18" s="276">
        <v>277</v>
      </c>
      <c r="R18" s="276">
        <v>286</v>
      </c>
      <c r="S18" s="276">
        <v>299</v>
      </c>
      <c r="T18" s="274">
        <f>'5.1.2'!U17+'5.1.3'!U17+'5.1.4'!T17+'5.1.5'!T17</f>
        <v>302</v>
      </c>
      <c r="U18" s="277">
        <v>328.1</v>
      </c>
      <c r="V18" s="274">
        <f>'5.1.2'!W17+'5.1.3'!W17+'5.1.4'!V17+'5.1.5'!V17</f>
        <v>335</v>
      </c>
      <c r="W18" s="274">
        <f>'5.1.2'!X17+'5.1.3'!X17+'5.1.4'!W17+'5.1.5'!W17</f>
        <v>336.4</v>
      </c>
      <c r="X18" s="274">
        <f>'5.1.2'!Y17+'5.1.3'!Y17+'5.1.4'!X17+'5.1.5'!X17</f>
        <v>362.93999999999994</v>
      </c>
      <c r="Y18" s="274">
        <f>'5.1.2'!Z17+'5.1.3'!Z17+'5.1.4'!Y17+'5.1.5'!Y17</f>
        <v>370</v>
      </c>
      <c r="Z18" s="274">
        <f>'5.1.2'!AA17+'5.1.3'!AA17+'5.1.4'!Z17+'5.1.5'!Z17</f>
        <v>370.4</v>
      </c>
      <c r="AA18" s="274">
        <f>'5.1.2'!AB17+'5.1.3'!AB17+'5.1.4'!AA17+'5.1.5'!AA17</f>
        <v>386</v>
      </c>
      <c r="AB18" s="274">
        <f>'5.1.2'!AC17+'5.1.3'!AC17+'5.1.4'!AB17+'5.1.5'!AB17</f>
        <v>393.5</v>
      </c>
    </row>
    <row r="19" spans="1:28" ht="12" customHeight="1">
      <c r="A19" s="20" t="s">
        <v>1794</v>
      </c>
      <c r="B19" s="2">
        <v>16</v>
      </c>
      <c r="C19" s="2">
        <v>16</v>
      </c>
      <c r="D19" s="2">
        <v>24</v>
      </c>
      <c r="E19" s="3">
        <v>30</v>
      </c>
      <c r="F19" s="3">
        <v>81</v>
      </c>
      <c r="G19" s="21">
        <v>81</v>
      </c>
      <c r="H19" s="21">
        <v>81</v>
      </c>
      <c r="I19" s="21">
        <v>85</v>
      </c>
      <c r="J19" s="21">
        <v>91</v>
      </c>
      <c r="K19" s="21">
        <v>91</v>
      </c>
      <c r="L19" s="112">
        <v>91</v>
      </c>
      <c r="M19" s="112">
        <v>91</v>
      </c>
      <c r="N19" s="113">
        <v>93</v>
      </c>
      <c r="O19" s="113">
        <v>93</v>
      </c>
      <c r="P19" s="112">
        <f>'5.1.2'!Q18+'5.1.3'!Q18+'5.1.4'!P18+'5.1.5'!P18</f>
        <v>100</v>
      </c>
      <c r="Q19" s="112">
        <v>100</v>
      </c>
      <c r="R19" s="112">
        <v>100</v>
      </c>
      <c r="S19" s="112">
        <v>98</v>
      </c>
      <c r="T19" s="112">
        <f>'5.1.2'!U18+'5.1.3'!U18+'5.1.4'!T18+'5.1.5'!T18</f>
        <v>52</v>
      </c>
      <c r="U19" s="120">
        <v>50.1</v>
      </c>
      <c r="V19" s="112">
        <f>'5.1.2'!W18+'5.1.3'!W18+'5.1.4'!V18+'5.1.5'!V18</f>
        <v>37</v>
      </c>
      <c r="W19" s="112">
        <f>'5.1.2'!X18+'5.1.3'!X18+'5.1.4'!W18+'5.1.5'!W18</f>
        <v>32.9</v>
      </c>
      <c r="X19" s="112">
        <f>'5.1.2'!Y18+'5.1.3'!Y18+'5.1.4'!X18+'5.1.5'!X18</f>
        <v>33.67</v>
      </c>
      <c r="Y19" s="112">
        <f>'5.1.2'!Z18+'5.1.3'!Z18+'5.1.4'!Y18+'5.1.5'!Y18</f>
        <v>34.05</v>
      </c>
      <c r="Z19" s="112">
        <f>'5.1.2'!AA18+'5.1.3'!AA18+'5.1.4'!Z18+'5.1.5'!Z18</f>
        <v>34</v>
      </c>
      <c r="AA19" s="112">
        <f>'5.1.2'!AB18+'5.1.3'!AB18+'5.1.4'!AA18+'5.1.5'!AA18</f>
        <v>34</v>
      </c>
      <c r="AB19" s="112">
        <f>'5.1.2'!AC18+'5.1.3'!AC18+'5.1.4'!AB18+'5.1.5'!AB18</f>
        <v>48</v>
      </c>
    </row>
    <row r="20" spans="1:28" ht="12">
      <c r="A20" s="268" t="s">
        <v>258</v>
      </c>
      <c r="B20" s="269">
        <v>1148</v>
      </c>
      <c r="C20" s="269">
        <v>1130</v>
      </c>
      <c r="D20" s="269">
        <v>1127</v>
      </c>
      <c r="E20" s="270">
        <v>1127</v>
      </c>
      <c r="F20" s="270">
        <v>1166</v>
      </c>
      <c r="G20" s="271">
        <v>1193</v>
      </c>
      <c r="H20" s="271">
        <v>1192</v>
      </c>
      <c r="I20" s="271">
        <f aca="true" t="shared" si="6" ref="I20:O20">SUM(I21:I23)</f>
        <v>1196</v>
      </c>
      <c r="J20" s="271">
        <f t="shared" si="6"/>
        <v>1187</v>
      </c>
      <c r="K20" s="271">
        <f t="shared" si="6"/>
        <v>1193</v>
      </c>
      <c r="L20" s="274">
        <f t="shared" si="6"/>
        <v>1199</v>
      </c>
      <c r="M20" s="274">
        <f t="shared" si="6"/>
        <v>1197</v>
      </c>
      <c r="N20" s="274">
        <f t="shared" si="6"/>
        <v>1193</v>
      </c>
      <c r="O20" s="274">
        <f t="shared" si="6"/>
        <v>1184</v>
      </c>
      <c r="P20" s="274">
        <f>'5.1.2'!Q19+'5.1.3'!Q19+'5.1.4'!P19+'5.1.5'!P19</f>
        <v>1177</v>
      </c>
      <c r="Q20" s="274">
        <v>1177</v>
      </c>
      <c r="R20" s="274">
        <v>1170</v>
      </c>
      <c r="S20" s="274">
        <v>1123</v>
      </c>
      <c r="T20" s="274">
        <f>'5.1.2'!U19+'5.1.3'!U19+'5.1.4'!T19+'5.1.5'!T19</f>
        <v>977</v>
      </c>
      <c r="U20" s="276">
        <v>977</v>
      </c>
      <c r="V20" s="274">
        <f>'5.1.2'!W19+'5.1.3'!W19+'5.1.4'!V19+'5.1.5'!V19</f>
        <v>944</v>
      </c>
      <c r="W20" s="274">
        <f>'5.1.2'!X19+'5.1.3'!X19+'5.1.4'!W19+'5.1.5'!W19</f>
        <v>947</v>
      </c>
      <c r="X20" s="274">
        <f>'5.1.2'!Y19+'5.1.3'!Y19+'5.1.4'!X19+'5.1.5'!X19</f>
        <v>936</v>
      </c>
      <c r="Y20" s="274">
        <f>'5.1.2'!Z19+'5.1.3'!Z19+'5.1.4'!Y19+'5.1.5'!Y19</f>
        <v>936</v>
      </c>
      <c r="Z20" s="274">
        <f>'5.1.2'!AA19+'5.1.3'!AA19+'5.1.4'!Z19+'5.1.5'!Z19</f>
        <v>936</v>
      </c>
      <c r="AA20" s="274">
        <f>'5.1.2'!AB19+'5.1.3'!AB19+'5.1.4'!AA19+'5.1.5'!AA19</f>
        <v>932</v>
      </c>
      <c r="AB20" s="274">
        <f>'5.1.2'!AC19+'5.1.3'!AC19+'5.1.4'!AB19+'5.1.5'!AB19</f>
        <v>894</v>
      </c>
    </row>
    <row r="21" spans="1:28" s="26" customFormat="1" ht="12" hidden="1">
      <c r="A21" s="22" t="s">
        <v>259</v>
      </c>
      <c r="B21" s="23">
        <v>38</v>
      </c>
      <c r="C21" s="23">
        <v>38</v>
      </c>
      <c r="D21" s="23">
        <v>15</v>
      </c>
      <c r="E21" s="24">
        <v>30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79">
        <v>0</v>
      </c>
      <c r="M21" s="25">
        <v>0</v>
      </c>
      <c r="N21" s="104">
        <v>0</v>
      </c>
      <c r="O21" s="104">
        <v>0</v>
      </c>
      <c r="X21" s="25"/>
      <c r="Y21" s="25"/>
      <c r="Z21" s="25"/>
      <c r="AA21" s="25"/>
      <c r="AB21" s="25"/>
    </row>
    <row r="22" spans="1:28" s="26" customFormat="1" ht="12" hidden="1">
      <c r="A22" s="22" t="s">
        <v>260</v>
      </c>
      <c r="B22" s="23">
        <v>186</v>
      </c>
      <c r="C22" s="23">
        <v>122</v>
      </c>
      <c r="D22" s="23">
        <v>115</v>
      </c>
      <c r="E22" s="24">
        <v>64</v>
      </c>
      <c r="F22" s="24">
        <v>191</v>
      </c>
      <c r="G22" s="25">
        <v>191</v>
      </c>
      <c r="H22" s="25">
        <v>190</v>
      </c>
      <c r="I22" s="25">
        <v>190</v>
      </c>
      <c r="J22" s="25">
        <v>188</v>
      </c>
      <c r="K22" s="25">
        <v>188</v>
      </c>
      <c r="L22" s="79">
        <v>188</v>
      </c>
      <c r="M22" s="25">
        <v>131</v>
      </c>
      <c r="N22" s="104">
        <v>129</v>
      </c>
      <c r="O22" s="104">
        <v>129</v>
      </c>
      <c r="X22" s="25"/>
      <c r="Y22" s="25"/>
      <c r="Z22" s="25"/>
      <c r="AA22" s="25"/>
      <c r="AB22" s="25"/>
    </row>
    <row r="23" spans="1:28" s="26" customFormat="1" ht="12" hidden="1">
      <c r="A23" s="22" t="s">
        <v>261</v>
      </c>
      <c r="B23" s="23">
        <v>924</v>
      </c>
      <c r="C23" s="23">
        <v>970</v>
      </c>
      <c r="D23" s="23">
        <v>997</v>
      </c>
      <c r="E23" s="24">
        <v>1033</v>
      </c>
      <c r="F23" s="24">
        <v>975</v>
      </c>
      <c r="G23" s="25">
        <v>1002</v>
      </c>
      <c r="H23" s="25">
        <v>1002</v>
      </c>
      <c r="I23" s="25">
        <v>1006</v>
      </c>
      <c r="J23" s="25">
        <v>999</v>
      </c>
      <c r="K23" s="25">
        <v>1005</v>
      </c>
      <c r="L23" s="79">
        <v>1011</v>
      </c>
      <c r="M23" s="25">
        <v>1066</v>
      </c>
      <c r="N23" s="104">
        <v>1064</v>
      </c>
      <c r="O23" s="104">
        <v>1055</v>
      </c>
      <c r="X23" s="25"/>
      <c r="Y23" s="25"/>
      <c r="Z23" s="25"/>
      <c r="AA23" s="25"/>
      <c r="AB23" s="25"/>
    </row>
    <row r="24" spans="1:28" ht="12">
      <c r="A24" s="15"/>
      <c r="B24" s="2"/>
      <c r="C24" s="2"/>
      <c r="D24" s="2"/>
      <c r="E24" s="3"/>
      <c r="H24" s="21"/>
      <c r="I24" s="21"/>
      <c r="J24" s="21"/>
      <c r="K24" s="21"/>
      <c r="M24" s="21"/>
      <c r="N24" s="36"/>
      <c r="O24" s="36"/>
      <c r="V24" s="160"/>
      <c r="X24" s="112"/>
      <c r="Y24" s="112"/>
      <c r="Z24" s="112"/>
      <c r="AA24" s="112"/>
      <c r="AB24" s="112"/>
    </row>
    <row r="25" spans="1:28" s="109" customFormat="1" ht="12">
      <c r="A25" s="264" t="s">
        <v>270</v>
      </c>
      <c r="B25" s="267">
        <f aca="true" t="shared" si="7" ref="B25:P25">SUM(B26:B29)</f>
        <v>4602</v>
      </c>
      <c r="C25" s="267">
        <f t="shared" si="7"/>
        <v>4616</v>
      </c>
      <c r="D25" s="267">
        <f t="shared" si="7"/>
        <v>4614</v>
      </c>
      <c r="E25" s="267">
        <f t="shared" si="7"/>
        <v>4623</v>
      </c>
      <c r="F25" s="267">
        <f t="shared" si="7"/>
        <v>4550</v>
      </c>
      <c r="G25" s="267">
        <f t="shared" si="7"/>
        <v>4554</v>
      </c>
      <c r="H25" s="267">
        <f t="shared" si="7"/>
        <v>4571</v>
      </c>
      <c r="I25" s="267">
        <f t="shared" si="7"/>
        <v>4583.6</v>
      </c>
      <c r="J25" s="267">
        <f t="shared" si="7"/>
        <v>4583.6</v>
      </c>
      <c r="K25" s="267">
        <f t="shared" si="7"/>
        <v>4587</v>
      </c>
      <c r="L25" s="267">
        <f t="shared" si="7"/>
        <v>4567.6</v>
      </c>
      <c r="M25" s="267">
        <f t="shared" si="7"/>
        <v>4536.8</v>
      </c>
      <c r="N25" s="267">
        <f t="shared" si="7"/>
        <v>4514.1</v>
      </c>
      <c r="O25" s="267">
        <f t="shared" si="7"/>
        <v>4464.700000000001</v>
      </c>
      <c r="P25" s="267">
        <f t="shared" si="7"/>
        <v>4465</v>
      </c>
      <c r="Q25" s="267">
        <f>SUM(Q26:Q29)</f>
        <v>4481.947</v>
      </c>
      <c r="R25" s="267">
        <f>SUM(R26:R29)</f>
        <v>4339.448</v>
      </c>
      <c r="S25" s="267">
        <f>SUM(S26:S29)</f>
        <v>4392.6</v>
      </c>
      <c r="T25" s="267">
        <f>SUM(T26:T29)</f>
        <v>4321</v>
      </c>
      <c r="U25" s="267">
        <f>SUM(U26:U29)</f>
        <v>4323</v>
      </c>
      <c r="V25" s="267">
        <f>SUM(V26:V29)</f>
        <v>4326</v>
      </c>
      <c r="W25" s="267">
        <f>SUM(W27:W29)</f>
        <v>4188.026</v>
      </c>
      <c r="X25" s="267">
        <f>SUM(X27:X29)</f>
        <v>4196</v>
      </c>
      <c r="Y25" s="267">
        <f>SUM(Y26:Y29)</f>
        <v>4182.981</v>
      </c>
      <c r="Z25" s="267">
        <f>SUM(Z26:Z29)</f>
        <v>4166.928</v>
      </c>
      <c r="AA25" s="267">
        <f>SUM(AA26:AA29)</f>
        <v>4167</v>
      </c>
      <c r="AB25" s="267">
        <f>SUM(AB26:AB29)</f>
        <v>4267.8</v>
      </c>
    </row>
    <row r="26" spans="1:28" s="114" customFormat="1" ht="12">
      <c r="A26" s="110" t="s">
        <v>256</v>
      </c>
      <c r="B26" s="111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2">
        <v>0</v>
      </c>
      <c r="M26" s="112">
        <v>0</v>
      </c>
      <c r="N26" s="113">
        <v>0</v>
      </c>
      <c r="O26" s="113">
        <f>'5.1.2'!P25+'5.1.3'!P25+'5.1.4'!O25+'5.1.5'!O25</f>
        <v>0</v>
      </c>
      <c r="P26" s="21">
        <f>'5.1.2'!Q25+'5.1.3'!Q25+'5.1.4'!P25+'5.1.5'!P25</f>
        <v>0</v>
      </c>
      <c r="Q26" s="21">
        <f>'5.1.2'!R25+'5.1.3'!R25+'5.1.4'!Q25+'5.1.5'!Q25</f>
        <v>0</v>
      </c>
      <c r="R26" s="21">
        <f>'5.1.2'!S25+'5.1.3'!S25+'5.1.4'!R25+'5.1.5'!R25</f>
        <v>0</v>
      </c>
      <c r="S26" s="21">
        <f>'5.1.2'!T25+'5.1.3'!T25+'5.1.4'!S25+'5.1.5'!S25</f>
        <v>0</v>
      </c>
      <c r="T26" s="134">
        <v>0</v>
      </c>
      <c r="U26" s="134">
        <v>0</v>
      </c>
      <c r="V26" s="134">
        <v>0</v>
      </c>
      <c r="W26" s="112">
        <f>'5.1.2'!X25+'5.1.3'!X25+'5.1.4'!W25+'5.1.5'!W25</f>
        <v>0</v>
      </c>
      <c r="X26" s="112">
        <f>'5.1.2'!Y25+'5.1.3'!Y25+'5.1.4'!X25+'5.1.5'!X25</f>
        <v>0</v>
      </c>
      <c r="Y26" s="112">
        <f>'5.1.2'!Z25+'5.1.3'!Z25+'5.1.4'!Y25+'5.1.5'!Y25</f>
        <v>0</v>
      </c>
      <c r="Z26" s="112">
        <v>0</v>
      </c>
      <c r="AA26" s="112">
        <v>0</v>
      </c>
      <c r="AB26" s="112">
        <v>0</v>
      </c>
    </row>
    <row r="27" spans="1:28" s="114" customFormat="1" ht="12">
      <c r="A27" s="278" t="s">
        <v>257</v>
      </c>
      <c r="B27" s="279">
        <v>3</v>
      </c>
      <c r="C27" s="279">
        <v>3</v>
      </c>
      <c r="D27" s="280">
        <v>0</v>
      </c>
      <c r="E27" s="280">
        <v>0</v>
      </c>
      <c r="F27" s="280">
        <v>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74">
        <v>0</v>
      </c>
      <c r="M27" s="274">
        <v>0</v>
      </c>
      <c r="N27" s="275">
        <v>0</v>
      </c>
      <c r="O27" s="275">
        <f>'5.1.2'!P26+'5.1.3'!P26+'5.1.4'!O26+'5.1.5'!O26</f>
        <v>0</v>
      </c>
      <c r="P27" s="271">
        <f>'5.1.2'!Q26+'5.1.3'!Q26+'5.1.4'!P26+'5.1.5'!P26</f>
        <v>0</v>
      </c>
      <c r="Q27" s="271">
        <f>'5.1.2'!R26+'5.1.3'!R26+'5.1.4'!Q26+'5.1.5'!Q26</f>
        <v>0</v>
      </c>
      <c r="R27" s="271">
        <v>0</v>
      </c>
      <c r="S27" s="276">
        <v>0</v>
      </c>
      <c r="T27" s="276">
        <v>0</v>
      </c>
      <c r="U27" s="276">
        <v>0</v>
      </c>
      <c r="V27" s="276">
        <v>0</v>
      </c>
      <c r="W27" s="274">
        <f>'5.1.2'!X26+'5.1.3'!X26+'5.1.4'!W26+'5.1.5'!W26</f>
        <v>0</v>
      </c>
      <c r="X27" s="274">
        <f>'5.1.2'!Y26+'5.1.3'!Y26+'5.1.4'!X26+'5.1.5'!X26</f>
        <v>0</v>
      </c>
      <c r="Y27" s="274">
        <f>'5.1.2'!Z26+'5.1.3'!Z26+'5.1.4'!Y26+'5.1.5'!Y26</f>
        <v>0</v>
      </c>
      <c r="Z27" s="274">
        <f>'5.1.2'!AA26+'5.1.3'!AA26+'5.1.4'!Z26+'5.1.5'!Z26</f>
        <v>0</v>
      </c>
      <c r="AA27" s="274">
        <f>'5.1.2'!AB26+'5.1.3'!AB26+'5.1.4'!AA26+'5.1.5'!AA26</f>
        <v>0</v>
      </c>
      <c r="AB27" s="274">
        <f>'5.1.2'!AC26+'5.1.3'!AC26+'5.1.4'!AB26+'5.1.5'!AB26</f>
        <v>0</v>
      </c>
    </row>
    <row r="28" spans="1:28" s="114" customFormat="1" ht="12">
      <c r="A28" s="20" t="s">
        <v>1794</v>
      </c>
      <c r="B28" s="115">
        <v>11</v>
      </c>
      <c r="C28" s="115">
        <v>11</v>
      </c>
      <c r="D28" s="115">
        <v>14</v>
      </c>
      <c r="E28" s="116">
        <v>14</v>
      </c>
      <c r="F28" s="116">
        <v>14</v>
      </c>
      <c r="G28" s="116">
        <v>14</v>
      </c>
      <c r="H28" s="116">
        <v>14</v>
      </c>
      <c r="I28" s="116">
        <v>14</v>
      </c>
      <c r="J28" s="116">
        <v>14</v>
      </c>
      <c r="K28" s="116">
        <v>14.4</v>
      </c>
      <c r="L28" s="112">
        <v>14</v>
      </c>
      <c r="M28" s="112">
        <v>3</v>
      </c>
      <c r="N28" s="113">
        <v>3</v>
      </c>
      <c r="O28" s="113">
        <f>'5.1.2'!P27+'5.1.3'!P27+'5.1.4'!O27+'5.1.5'!O27</f>
        <v>2.6</v>
      </c>
      <c r="P28" s="21">
        <f>'5.1.2'!Q27+'5.1.3'!Q27+'5.1.4'!P27+'5.1.5'!P27</f>
        <v>3</v>
      </c>
      <c r="Q28" s="21">
        <f>'5.1.2'!R27+'5.1.3'!R27+'5.1.4'!Q27+'5.1.5'!Q27</f>
        <v>2.6</v>
      </c>
      <c r="R28" s="21">
        <v>2.6</v>
      </c>
      <c r="S28" s="21">
        <f>'5.1.2'!T27+'5.1.3'!T27+'5.1.4'!S27+'5.1.5'!S27</f>
        <v>2.6</v>
      </c>
      <c r="T28" s="134">
        <v>3</v>
      </c>
      <c r="U28" s="134">
        <v>3</v>
      </c>
      <c r="V28" s="120">
        <f>'5.1.2'!W27+'5.1.3'!W27+'5.1.4'!V27+'5.1.5'!V27</f>
        <v>3</v>
      </c>
      <c r="W28" s="112">
        <f>'5.1.2'!X27+'5.1.3'!X27+'5.1.4'!W27+'5.1.5'!W27</f>
        <v>3.026</v>
      </c>
      <c r="X28" s="112">
        <f>'5.1.2'!Y27+'5.1.3'!Y27+'5.1.4'!X27+'5.1.5'!X27</f>
        <v>7</v>
      </c>
      <c r="Y28" s="112">
        <f>'5.1.2'!Z27+'5.1.3'!Z27+'5.1.4'!Y27+'5.1.5'!Y27</f>
        <v>8.149</v>
      </c>
      <c r="Z28" s="112">
        <f>'5.1.2'!AA27+'5.1.3'!AA27+'5.1.4'!Z27+'5.1.5'!Z27</f>
        <v>8.62</v>
      </c>
      <c r="AA28" s="112">
        <f>'5.1.2'!AB27+'5.1.3'!AB27+'5.1.4'!AA27+'5.1.5'!AA27</f>
        <v>8.6</v>
      </c>
      <c r="AB28" s="112">
        <f>'5.1.2'!AC27+'5.1.3'!AC27+'5.1.4'!AB27+'5.1.5'!AB27</f>
        <v>8.6</v>
      </c>
    </row>
    <row r="29" spans="1:28" s="114" customFormat="1" ht="12">
      <c r="A29" s="278" t="s">
        <v>258</v>
      </c>
      <c r="B29" s="279">
        <v>4588</v>
      </c>
      <c r="C29" s="279">
        <v>4602</v>
      </c>
      <c r="D29" s="279">
        <v>4600</v>
      </c>
      <c r="E29" s="281">
        <v>4609</v>
      </c>
      <c r="F29" s="281">
        <v>4536</v>
      </c>
      <c r="G29" s="281">
        <v>4540</v>
      </c>
      <c r="H29" s="274">
        <v>4557</v>
      </c>
      <c r="I29" s="274">
        <v>4569.6</v>
      </c>
      <c r="J29" s="274">
        <v>4569.6</v>
      </c>
      <c r="K29" s="274">
        <v>4572.6</v>
      </c>
      <c r="L29" s="274">
        <v>4553.6</v>
      </c>
      <c r="M29" s="274">
        <v>4533.8</v>
      </c>
      <c r="N29" s="274">
        <v>4511.1</v>
      </c>
      <c r="O29" s="275">
        <f>'5.1.2'!P28+'5.1.3'!P28+'5.1.4'!O28+'5.1.5'!O28</f>
        <v>4462.1</v>
      </c>
      <c r="P29" s="271">
        <f>'5.1.2'!Q28+'5.1.3'!Q28+'5.1.4'!P28+'5.1.5'!P28</f>
        <v>4462</v>
      </c>
      <c r="Q29" s="271">
        <f>'5.1.2'!R28+'5.1.3'!R28+'5.1.4'!Q28+'5.1.5'!Q28</f>
        <v>4479.347</v>
      </c>
      <c r="R29" s="271">
        <v>4336.848</v>
      </c>
      <c r="S29" s="271">
        <f>'5.1.2'!T28+'5.1.3'!T28+'5.1.4'!S28+'5.1.5'!S28</f>
        <v>4390</v>
      </c>
      <c r="T29" s="274">
        <v>4318</v>
      </c>
      <c r="U29" s="274">
        <v>4320</v>
      </c>
      <c r="V29" s="274">
        <f>'5.1.2'!W28+'5.1.3'!W28+'5.1.4'!V28+'5.1.5'!V28</f>
        <v>4323</v>
      </c>
      <c r="W29" s="274">
        <f>'5.1.2'!X28+'5.1.3'!X28+'5.1.4'!W28+'5.1.5'!W28</f>
        <v>4185</v>
      </c>
      <c r="X29" s="274">
        <f>'5.1.2'!Y28+'5.1.3'!Y28+'5.1.4'!X28+'5.1.5'!X28</f>
        <v>4189</v>
      </c>
      <c r="Y29" s="274">
        <f>'5.1.2'!Z28+'5.1.3'!Z28+'5.1.4'!Y28+'5.1.5'!Y28</f>
        <v>4174.831999999999</v>
      </c>
      <c r="Z29" s="274">
        <f>'5.1.2'!AA28+'5.1.3'!AA28+'5.1.4'!Z28+'5.1.5'!Z28</f>
        <v>4158.308</v>
      </c>
      <c r="AA29" s="274">
        <f>'5.1.2'!AB28+'5.1.3'!AB28+'5.1.4'!AA28+'5.1.5'!AA28</f>
        <v>4158.4</v>
      </c>
      <c r="AB29" s="274">
        <f>'5.1.2'!AC28+'5.1.3'!AC28+'5.1.4'!AB28+'5.1.5'!AB28</f>
        <v>4259.2</v>
      </c>
    </row>
    <row r="30" spans="1:28" s="26" customFormat="1" ht="12" hidden="1">
      <c r="A30" s="22" t="s">
        <v>259</v>
      </c>
      <c r="B30" s="23">
        <v>1036</v>
      </c>
      <c r="C30" s="23">
        <v>1026</v>
      </c>
      <c r="D30" s="23">
        <v>1024</v>
      </c>
      <c r="E30" s="24">
        <v>1012</v>
      </c>
      <c r="F30" s="24">
        <v>1138</v>
      </c>
      <c r="G30" s="24">
        <v>1131</v>
      </c>
      <c r="H30" s="25">
        <v>1122</v>
      </c>
      <c r="I30" s="25">
        <v>1113</v>
      </c>
      <c r="J30" s="25">
        <v>1109</v>
      </c>
      <c r="K30" s="25">
        <v>1054</v>
      </c>
      <c r="L30" s="79">
        <v>931</v>
      </c>
      <c r="M30" s="25">
        <v>930</v>
      </c>
      <c r="N30" s="104">
        <v>891</v>
      </c>
      <c r="O30" s="108"/>
      <c r="X30" s="25"/>
      <c r="Y30" s="25"/>
      <c r="Z30" s="25"/>
      <c r="AA30" s="25"/>
      <c r="AB30" s="25"/>
    </row>
    <row r="31" spans="1:28" s="26" customFormat="1" ht="12" hidden="1">
      <c r="A31" s="22" t="s">
        <v>260</v>
      </c>
      <c r="B31" s="23">
        <v>2816</v>
      </c>
      <c r="C31" s="23">
        <v>2784</v>
      </c>
      <c r="D31" s="23">
        <v>2768</v>
      </c>
      <c r="E31" s="24">
        <v>2751</v>
      </c>
      <c r="F31" s="24">
        <v>2607</v>
      </c>
      <c r="G31" s="24">
        <v>2655</v>
      </c>
      <c r="H31" s="25">
        <v>2575</v>
      </c>
      <c r="I31" s="25">
        <v>2607</v>
      </c>
      <c r="J31" s="25">
        <v>2609</v>
      </c>
      <c r="K31" s="25">
        <v>2652</v>
      </c>
      <c r="L31" s="79">
        <v>2573</v>
      </c>
      <c r="M31" s="25">
        <v>2560</v>
      </c>
      <c r="N31" s="104">
        <v>2450</v>
      </c>
      <c r="O31" s="108"/>
      <c r="X31" s="25"/>
      <c r="Y31" s="25"/>
      <c r="Z31" s="25"/>
      <c r="AA31" s="25"/>
      <c r="AB31" s="25"/>
    </row>
    <row r="32" spans="1:28" s="26" customFormat="1" ht="12" hidden="1">
      <c r="A32" s="22" t="s">
        <v>261</v>
      </c>
      <c r="B32" s="23">
        <v>736</v>
      </c>
      <c r="C32" s="23">
        <v>792</v>
      </c>
      <c r="D32" s="23">
        <v>808</v>
      </c>
      <c r="E32" s="24">
        <v>846</v>
      </c>
      <c r="F32" s="24">
        <v>791</v>
      </c>
      <c r="G32" s="24">
        <v>754</v>
      </c>
      <c r="H32" s="25">
        <v>860</v>
      </c>
      <c r="I32" s="25">
        <v>848</v>
      </c>
      <c r="J32" s="25">
        <v>851</v>
      </c>
      <c r="K32" s="25">
        <v>866</v>
      </c>
      <c r="L32" s="79">
        <v>1059</v>
      </c>
      <c r="M32" s="25">
        <v>1044</v>
      </c>
      <c r="N32" s="104">
        <v>1115</v>
      </c>
      <c r="O32" s="108"/>
      <c r="X32" s="25"/>
      <c r="Y32" s="25"/>
      <c r="Z32" s="25"/>
      <c r="AA32" s="25"/>
      <c r="AB32" s="25"/>
    </row>
    <row r="33" spans="1:28" ht="12">
      <c r="A33" s="15"/>
      <c r="B33" s="2"/>
      <c r="C33" s="2"/>
      <c r="D33" s="2"/>
      <c r="E33" s="3"/>
      <c r="H33" s="21"/>
      <c r="I33" s="21"/>
      <c r="J33" s="21"/>
      <c r="K33" s="21"/>
      <c r="M33" s="21"/>
      <c r="N33" s="36"/>
      <c r="O33" s="36"/>
      <c r="X33" s="112"/>
      <c r="Y33" s="112"/>
      <c r="Z33" s="112"/>
      <c r="AA33" s="112"/>
      <c r="AB33" s="112"/>
    </row>
    <row r="34" spans="1:28" s="10" customFormat="1" ht="12">
      <c r="A34" s="282" t="s">
        <v>271</v>
      </c>
      <c r="B34" s="283" t="e">
        <f aca="true" t="shared" si="8" ref="B34:O34">SUM(B35:B38)</f>
        <v>#VALUE!</v>
      </c>
      <c r="C34" s="283">
        <f t="shared" si="8"/>
        <v>11435</v>
      </c>
      <c r="D34" s="283">
        <f t="shared" si="8"/>
        <v>11550</v>
      </c>
      <c r="E34" s="283">
        <f t="shared" si="8"/>
        <v>11663.565</v>
      </c>
      <c r="F34" s="283">
        <f t="shared" si="8"/>
        <v>11716.792000000001</v>
      </c>
      <c r="G34" s="283">
        <f t="shared" si="8"/>
        <v>11868.949</v>
      </c>
      <c r="H34" s="283">
        <f t="shared" si="8"/>
        <v>11859</v>
      </c>
      <c r="I34" s="283">
        <f t="shared" si="8"/>
        <v>11938.354000000001</v>
      </c>
      <c r="J34" s="283">
        <f t="shared" si="8"/>
        <v>11988.7</v>
      </c>
      <c r="K34" s="283">
        <f t="shared" si="8"/>
        <v>12012.79</v>
      </c>
      <c r="L34" s="283">
        <f t="shared" si="8"/>
        <v>12034.628</v>
      </c>
      <c r="M34" s="283">
        <f t="shared" si="8"/>
        <v>12071.247000000001</v>
      </c>
      <c r="N34" s="283">
        <f t="shared" si="8"/>
        <v>12082.29</v>
      </c>
      <c r="O34" s="283">
        <f t="shared" si="8"/>
        <v>12068.165</v>
      </c>
      <c r="P34" s="283">
        <f aca="true" t="shared" si="9" ref="P34:U34">SUM(P35:P38)</f>
        <v>12176.681</v>
      </c>
      <c r="Q34" s="283">
        <f t="shared" si="9"/>
        <v>12140.746</v>
      </c>
      <c r="R34" s="283">
        <f t="shared" si="9"/>
        <v>12247.264</v>
      </c>
      <c r="S34" s="283">
        <f t="shared" si="9"/>
        <v>12155.846</v>
      </c>
      <c r="T34" s="283">
        <f t="shared" si="9"/>
        <v>12015.103000000001</v>
      </c>
      <c r="U34" s="283">
        <f t="shared" si="9"/>
        <v>11981.060000000001</v>
      </c>
      <c r="V34" s="283">
        <f aca="true" t="shared" si="10" ref="V34:AA34">SUM(V35:V38)</f>
        <v>12068.058</v>
      </c>
      <c r="W34" s="283">
        <f t="shared" si="10"/>
        <v>12040.07</v>
      </c>
      <c r="X34" s="283">
        <f t="shared" si="10"/>
        <v>12071.168</v>
      </c>
      <c r="Y34" s="283">
        <f t="shared" si="10"/>
        <v>12055.961</v>
      </c>
      <c r="Z34" s="283">
        <f t="shared" si="10"/>
        <v>12053.048999999999</v>
      </c>
      <c r="AA34" s="283">
        <f t="shared" si="10"/>
        <v>11994.3</v>
      </c>
      <c r="AB34" s="283">
        <f>SUM(AB35:AB38)</f>
        <v>12074.800000000001</v>
      </c>
    </row>
    <row r="35" spans="1:28" ht="12">
      <c r="A35" s="20" t="s">
        <v>256</v>
      </c>
      <c r="B35" s="21" t="e">
        <f aca="true" t="shared" si="11" ref="B35:K35">B17+B8</f>
        <v>#VALUE!</v>
      </c>
      <c r="C35" s="21">
        <f t="shared" si="11"/>
        <v>600</v>
      </c>
      <c r="D35" s="21">
        <f t="shared" si="11"/>
        <v>601</v>
      </c>
      <c r="E35" s="21">
        <f t="shared" si="11"/>
        <v>588</v>
      </c>
      <c r="F35" s="21">
        <f t="shared" si="11"/>
        <v>629.341</v>
      </c>
      <c r="G35" s="21">
        <f t="shared" si="11"/>
        <v>691.3489999999999</v>
      </c>
      <c r="H35" s="21">
        <f t="shared" si="11"/>
        <v>624</v>
      </c>
      <c r="I35" s="21">
        <f t="shared" si="11"/>
        <v>627.711</v>
      </c>
      <c r="J35" s="21">
        <f t="shared" si="11"/>
        <v>658.7</v>
      </c>
      <c r="K35" s="21">
        <f t="shared" si="11"/>
        <v>676.2</v>
      </c>
      <c r="L35" s="21">
        <f aca="true" t="shared" si="12" ref="L35:O37">L17+L8+L26</f>
        <v>626</v>
      </c>
      <c r="M35" s="21">
        <f t="shared" si="12"/>
        <v>626</v>
      </c>
      <c r="N35" s="21">
        <f t="shared" si="12"/>
        <v>626</v>
      </c>
      <c r="O35" s="21">
        <f t="shared" si="12"/>
        <v>624</v>
      </c>
      <c r="P35" s="21">
        <f aca="true" t="shared" si="13" ref="P35:Q37">P17+P8+P26</f>
        <v>623.561</v>
      </c>
      <c r="Q35" s="21">
        <f t="shared" si="13"/>
        <v>624</v>
      </c>
      <c r="R35" s="21">
        <f aca="true" t="shared" si="14" ref="R35:T37">R17+R8+R26</f>
        <v>624</v>
      </c>
      <c r="S35" s="21">
        <f t="shared" si="14"/>
        <v>623.59</v>
      </c>
      <c r="T35" s="21">
        <f t="shared" si="14"/>
        <v>628</v>
      </c>
      <c r="U35" s="21">
        <f aca="true" t="shared" si="15" ref="U35:V37">U17+U8+U26</f>
        <v>628.2</v>
      </c>
      <c r="V35" s="21">
        <f>V17+V8+V26</f>
        <v>632.374</v>
      </c>
      <c r="W35" s="21">
        <f>W17+W8+W26</f>
        <v>631.556</v>
      </c>
      <c r="X35" s="112">
        <f>X17+X8+X26</f>
        <v>631.556</v>
      </c>
      <c r="Y35" s="112">
        <f>Y17+Y8+Y26</f>
        <v>631.9300000000001</v>
      </c>
      <c r="Z35" s="112">
        <f aca="true" t="shared" si="16" ref="Z35:AA38">Z8+Z17+Z26</f>
        <v>631.587</v>
      </c>
      <c r="AA35" s="112">
        <f t="shared" si="16"/>
        <v>633</v>
      </c>
      <c r="AB35" s="112">
        <f>AB8+AB17+AB26</f>
        <v>633.6</v>
      </c>
    </row>
    <row r="36" spans="1:28" ht="12">
      <c r="A36" s="268" t="s">
        <v>257</v>
      </c>
      <c r="B36" s="271" t="e">
        <f>B18+B9+B27</f>
        <v>#VALUE!</v>
      </c>
      <c r="C36" s="271">
        <f>C18+C9+C27</f>
        <v>229</v>
      </c>
      <c r="D36" s="271">
        <f aca="true" t="shared" si="17" ref="D36:K36">D18+D9</f>
        <v>229</v>
      </c>
      <c r="E36" s="271">
        <f t="shared" si="17"/>
        <v>264</v>
      </c>
      <c r="F36" s="271">
        <f t="shared" si="17"/>
        <v>184.497</v>
      </c>
      <c r="G36" s="271">
        <f t="shared" si="17"/>
        <v>196.365</v>
      </c>
      <c r="H36" s="271">
        <f t="shared" si="17"/>
        <v>314</v>
      </c>
      <c r="I36" s="271">
        <f t="shared" si="17"/>
        <v>316.392</v>
      </c>
      <c r="J36" s="271">
        <f t="shared" si="17"/>
        <v>335.1</v>
      </c>
      <c r="K36" s="271">
        <f t="shared" si="17"/>
        <v>245.5</v>
      </c>
      <c r="L36" s="271">
        <f t="shared" si="12"/>
        <v>349.628</v>
      </c>
      <c r="M36" s="271">
        <f t="shared" si="12"/>
        <v>364.627</v>
      </c>
      <c r="N36" s="271">
        <f t="shared" si="12"/>
        <v>371.712</v>
      </c>
      <c r="O36" s="271">
        <f t="shared" si="12"/>
        <v>392.712</v>
      </c>
      <c r="P36" s="271">
        <f t="shared" si="13"/>
        <v>429.637</v>
      </c>
      <c r="Q36" s="271">
        <f t="shared" si="13"/>
        <v>461.9</v>
      </c>
      <c r="R36" s="271">
        <f t="shared" si="14"/>
        <v>488.88</v>
      </c>
      <c r="S36" s="271">
        <f>S18+S9+S28</f>
        <v>506.58000000000004</v>
      </c>
      <c r="T36" s="271">
        <f t="shared" si="14"/>
        <v>546.685</v>
      </c>
      <c r="U36" s="271">
        <f t="shared" si="15"/>
        <v>572.7850000000001</v>
      </c>
      <c r="V36" s="271">
        <f t="shared" si="15"/>
        <v>580.135</v>
      </c>
      <c r="W36" s="271">
        <f aca="true" t="shared" si="18" ref="W36:Y37">W18+W9+W27</f>
        <v>635.269</v>
      </c>
      <c r="X36" s="274">
        <f t="shared" si="18"/>
        <v>662.0679999999999</v>
      </c>
      <c r="Y36" s="274">
        <f t="shared" si="18"/>
        <v>817</v>
      </c>
      <c r="Z36" s="274">
        <f t="shared" si="16"/>
        <v>805.518</v>
      </c>
      <c r="AA36" s="274">
        <f t="shared" si="16"/>
        <v>817.9</v>
      </c>
      <c r="AB36" s="274">
        <f>AB9+AB18+AB27</f>
        <v>822.9</v>
      </c>
    </row>
    <row r="37" spans="1:28" ht="12">
      <c r="A37" s="20" t="s">
        <v>1794</v>
      </c>
      <c r="B37" s="21" t="e">
        <f aca="true" t="shared" si="19" ref="B37:K37">B28+B19+B10</f>
        <v>#VALUE!</v>
      </c>
      <c r="C37" s="21">
        <f t="shared" si="19"/>
        <v>102</v>
      </c>
      <c r="D37" s="21">
        <f t="shared" si="19"/>
        <v>176</v>
      </c>
      <c r="E37" s="21">
        <f t="shared" si="19"/>
        <v>169</v>
      </c>
      <c r="F37" s="21">
        <f t="shared" si="19"/>
        <v>205.51999999999998</v>
      </c>
      <c r="G37" s="21">
        <f t="shared" si="19"/>
        <v>214.20499999999998</v>
      </c>
      <c r="H37" s="21">
        <f t="shared" si="19"/>
        <v>130</v>
      </c>
      <c r="I37" s="21">
        <f t="shared" si="19"/>
        <v>143.459</v>
      </c>
      <c r="J37" s="21">
        <f t="shared" si="19"/>
        <v>155.4</v>
      </c>
      <c r="K37" s="21">
        <f t="shared" si="19"/>
        <v>228.89</v>
      </c>
      <c r="L37" s="21">
        <f t="shared" si="12"/>
        <v>139.453</v>
      </c>
      <c r="M37" s="21">
        <f t="shared" si="12"/>
        <v>152.81</v>
      </c>
      <c r="N37" s="21">
        <f t="shared" si="12"/>
        <v>154.81</v>
      </c>
      <c r="O37" s="21">
        <f t="shared" si="12"/>
        <v>160.477</v>
      </c>
      <c r="P37" s="21">
        <f t="shared" si="13"/>
        <v>167.877</v>
      </c>
      <c r="Q37" s="21">
        <f t="shared" si="13"/>
        <v>173.23</v>
      </c>
      <c r="R37" s="21">
        <f t="shared" si="14"/>
        <v>173.23</v>
      </c>
      <c r="S37" s="21">
        <f>S19+S10+S28</f>
        <v>179.251</v>
      </c>
      <c r="T37" s="21">
        <f t="shared" si="14"/>
        <v>134.147</v>
      </c>
      <c r="U37" s="21">
        <f t="shared" si="15"/>
        <v>138.064</v>
      </c>
      <c r="V37" s="21">
        <f t="shared" si="15"/>
        <v>134.101</v>
      </c>
      <c r="W37" s="21">
        <f t="shared" si="18"/>
        <v>113.24499999999999</v>
      </c>
      <c r="X37" s="112">
        <f t="shared" si="18"/>
        <v>119.744</v>
      </c>
      <c r="Y37" s="112">
        <f t="shared" si="18"/>
        <v>126.199</v>
      </c>
      <c r="Z37" s="112">
        <f t="shared" si="16"/>
        <v>135.382</v>
      </c>
      <c r="AA37" s="112">
        <f t="shared" si="16"/>
        <v>140</v>
      </c>
      <c r="AB37" s="112">
        <f>AB10+AB19+AB28</f>
        <v>155.1</v>
      </c>
    </row>
    <row r="38" spans="1:28" ht="12">
      <c r="A38" s="268" t="s">
        <v>258</v>
      </c>
      <c r="B38" s="271">
        <f aca="true" t="shared" si="20" ref="B38:H38">SUM(B39:B41)</f>
        <v>10164</v>
      </c>
      <c r="C38" s="271">
        <f t="shared" si="20"/>
        <v>10504</v>
      </c>
      <c r="D38" s="271">
        <f t="shared" si="20"/>
        <v>10544</v>
      </c>
      <c r="E38" s="271">
        <f t="shared" si="20"/>
        <v>10642.565</v>
      </c>
      <c r="F38" s="271">
        <f t="shared" si="20"/>
        <v>10697.434000000001</v>
      </c>
      <c r="G38" s="271">
        <f t="shared" si="20"/>
        <v>10767.03</v>
      </c>
      <c r="H38" s="271">
        <f t="shared" si="20"/>
        <v>10791</v>
      </c>
      <c r="I38" s="271">
        <f aca="true" t="shared" si="21" ref="I38:O38">SUM(I11,I20,I29)</f>
        <v>10850.792000000001</v>
      </c>
      <c r="J38" s="271">
        <f t="shared" si="21"/>
        <v>10839.5</v>
      </c>
      <c r="K38" s="271">
        <f t="shared" si="21"/>
        <v>10862.2</v>
      </c>
      <c r="L38" s="271">
        <f t="shared" si="21"/>
        <v>10919.547</v>
      </c>
      <c r="M38" s="271">
        <f t="shared" si="21"/>
        <v>10927.810000000001</v>
      </c>
      <c r="N38" s="271">
        <f t="shared" si="21"/>
        <v>10929.768</v>
      </c>
      <c r="O38" s="271">
        <f t="shared" si="21"/>
        <v>10890.976</v>
      </c>
      <c r="P38" s="271">
        <f aca="true" t="shared" si="22" ref="P38:U38">SUM(P11,P20,P29)</f>
        <v>10955.606</v>
      </c>
      <c r="Q38" s="271">
        <f t="shared" si="22"/>
        <v>10881.616</v>
      </c>
      <c r="R38" s="271">
        <f t="shared" si="22"/>
        <v>10961.153999999999</v>
      </c>
      <c r="S38" s="271">
        <f t="shared" si="22"/>
        <v>10846.425</v>
      </c>
      <c r="T38" s="271">
        <f t="shared" si="22"/>
        <v>10706.271</v>
      </c>
      <c r="U38" s="271">
        <f t="shared" si="22"/>
        <v>10642.011</v>
      </c>
      <c r="V38" s="271">
        <f>SUM(V11,V20,V29)</f>
        <v>10721.448</v>
      </c>
      <c r="W38" s="271">
        <f>SUM(W11,W20,W29)</f>
        <v>10660</v>
      </c>
      <c r="X38" s="274">
        <f>SUM(X11,X20,X29)</f>
        <v>10657.8</v>
      </c>
      <c r="Y38" s="274">
        <f>SUM(Y11,Y20,Y29)</f>
        <v>10480.831999999999</v>
      </c>
      <c r="Z38" s="274">
        <f t="shared" si="16"/>
        <v>10480.562</v>
      </c>
      <c r="AA38" s="274">
        <f t="shared" si="16"/>
        <v>10403.4</v>
      </c>
      <c r="AB38" s="274">
        <f>AB11+AB20+AB29</f>
        <v>10463.2</v>
      </c>
    </row>
    <row r="39" spans="1:28" s="26" customFormat="1" ht="12" hidden="1">
      <c r="A39" s="22" t="s">
        <v>259</v>
      </c>
      <c r="B39" s="79">
        <f aca="true" t="shared" si="23" ref="B39:N39">B21+B12+B30</f>
        <v>1245</v>
      </c>
      <c r="C39" s="79">
        <f t="shared" si="23"/>
        <v>1295</v>
      </c>
      <c r="D39" s="79">
        <f t="shared" si="23"/>
        <v>1255</v>
      </c>
      <c r="E39" s="79">
        <f t="shared" si="23"/>
        <v>1288</v>
      </c>
      <c r="F39" s="79">
        <f t="shared" si="23"/>
        <v>1383.737</v>
      </c>
      <c r="G39" s="79">
        <f t="shared" si="23"/>
        <v>1376.737</v>
      </c>
      <c r="H39" s="79">
        <f t="shared" si="23"/>
        <v>1329</v>
      </c>
      <c r="I39" s="79">
        <f t="shared" si="23"/>
        <v>1318.598</v>
      </c>
      <c r="J39" s="79">
        <f t="shared" si="23"/>
        <v>1314.6</v>
      </c>
      <c r="K39" s="79">
        <f t="shared" si="23"/>
        <v>2577</v>
      </c>
      <c r="L39" s="79">
        <f t="shared" si="23"/>
        <v>2301.504</v>
      </c>
      <c r="M39" s="79">
        <f t="shared" si="23"/>
        <v>2304.5460000000003</v>
      </c>
      <c r="N39" s="79">
        <f t="shared" si="23"/>
        <v>2264.4480000000003</v>
      </c>
      <c r="O39" s="79">
        <f>O21+O12</f>
        <v>1373.454</v>
      </c>
      <c r="X39" s="25"/>
      <c r="Y39" s="25"/>
      <c r="Z39" s="25"/>
      <c r="AA39" s="25"/>
      <c r="AB39" s="25"/>
    </row>
    <row r="40" spans="1:28" s="26" customFormat="1" ht="12" hidden="1">
      <c r="A40" s="22" t="s">
        <v>260</v>
      </c>
      <c r="B40" s="79">
        <f aca="true" t="shared" si="24" ref="B40:N40">B22+B13+B31</f>
        <v>6540</v>
      </c>
      <c r="C40" s="79">
        <f t="shared" si="24"/>
        <v>5838</v>
      </c>
      <c r="D40" s="79">
        <f t="shared" si="24"/>
        <v>5840</v>
      </c>
      <c r="E40" s="79">
        <f t="shared" si="24"/>
        <v>7422</v>
      </c>
      <c r="F40" s="79">
        <f t="shared" si="24"/>
        <v>5536.1630000000005</v>
      </c>
      <c r="G40" s="79">
        <f t="shared" si="24"/>
        <v>5584.4220000000005</v>
      </c>
      <c r="H40" s="79">
        <f t="shared" si="24"/>
        <v>5514</v>
      </c>
      <c r="I40" s="79">
        <f t="shared" si="24"/>
        <v>5519.541</v>
      </c>
      <c r="J40" s="79">
        <f t="shared" si="24"/>
        <v>5521.9</v>
      </c>
      <c r="K40" s="79">
        <f t="shared" si="24"/>
        <v>4245.2</v>
      </c>
      <c r="L40" s="79">
        <f t="shared" si="24"/>
        <v>4093.395</v>
      </c>
      <c r="M40" s="79">
        <f t="shared" si="24"/>
        <v>4022.696</v>
      </c>
      <c r="N40" s="79">
        <f t="shared" si="24"/>
        <v>6278.298</v>
      </c>
      <c r="O40" s="79">
        <f>O22+O13</f>
        <v>3850.513</v>
      </c>
      <c r="X40" s="25"/>
      <c r="Y40" s="25"/>
      <c r="Z40" s="25"/>
      <c r="AA40" s="25"/>
      <c r="AB40" s="25"/>
    </row>
    <row r="41" spans="1:28" s="26" customFormat="1" ht="12" hidden="1">
      <c r="A41" s="30" t="s">
        <v>261</v>
      </c>
      <c r="B41" s="79">
        <f aca="true" t="shared" si="25" ref="B41:N41">B23+B14+B32</f>
        <v>2379</v>
      </c>
      <c r="C41" s="79">
        <f t="shared" si="25"/>
        <v>3371</v>
      </c>
      <c r="D41" s="79">
        <f t="shared" si="25"/>
        <v>3449</v>
      </c>
      <c r="E41" s="79">
        <f t="shared" si="25"/>
        <v>1932.565</v>
      </c>
      <c r="F41" s="79">
        <f t="shared" si="25"/>
        <v>3777.5339999999997</v>
      </c>
      <c r="G41" s="79">
        <f t="shared" si="25"/>
        <v>3805.871</v>
      </c>
      <c r="H41" s="79">
        <f t="shared" si="25"/>
        <v>3948</v>
      </c>
      <c r="I41" s="79">
        <f t="shared" si="25"/>
        <v>4011.053</v>
      </c>
      <c r="J41" s="79">
        <f t="shared" si="25"/>
        <v>4002.4</v>
      </c>
      <c r="K41" s="79">
        <f t="shared" si="25"/>
        <v>4039.4</v>
      </c>
      <c r="L41" s="79">
        <f t="shared" si="25"/>
        <v>4479.784</v>
      </c>
      <c r="M41" s="79">
        <f t="shared" si="25"/>
        <v>4546.304</v>
      </c>
      <c r="N41" s="79">
        <f t="shared" si="25"/>
        <v>2283.06</v>
      </c>
      <c r="O41" s="79">
        <f>O23+O14</f>
        <v>1157.2640000000001</v>
      </c>
      <c r="X41" s="25"/>
      <c r="Y41" s="25"/>
      <c r="Z41" s="25"/>
      <c r="AA41" s="25"/>
      <c r="AB41" s="25"/>
    </row>
    <row r="42" spans="1:28" ht="12">
      <c r="A42" s="5"/>
      <c r="B42" s="6"/>
      <c r="C42" s="6"/>
      <c r="D42" s="6"/>
      <c r="E42" s="7"/>
      <c r="F42" s="36"/>
      <c r="G42" s="36"/>
      <c r="H42" s="8"/>
      <c r="I42" s="8"/>
      <c r="J42" s="8"/>
      <c r="K42" s="59"/>
      <c r="L42" s="36"/>
      <c r="M42" s="21"/>
      <c r="N42" s="36"/>
      <c r="O42" s="36"/>
      <c r="X42" s="112"/>
      <c r="Y42" s="112"/>
      <c r="Z42" s="112"/>
      <c r="AA42" s="112"/>
      <c r="AB42" s="112"/>
    </row>
    <row r="43" spans="1:29" ht="12" customHeight="1">
      <c r="A43" s="284" t="s">
        <v>292</v>
      </c>
      <c r="B43" s="285">
        <f aca="true" t="shared" si="26" ref="B43:R43">SUM(B44:B47)</f>
        <v>156172</v>
      </c>
      <c r="C43" s="285">
        <f t="shared" si="26"/>
        <v>156974</v>
      </c>
      <c r="D43" s="285">
        <f t="shared" si="26"/>
        <v>158324</v>
      </c>
      <c r="E43" s="285">
        <f t="shared" si="26"/>
        <v>159630</v>
      </c>
      <c r="F43" s="285">
        <f t="shared" si="26"/>
        <v>162196</v>
      </c>
      <c r="G43" s="285">
        <f t="shared" si="26"/>
        <v>162617</v>
      </c>
      <c r="H43" s="285">
        <f t="shared" si="26"/>
        <v>162100</v>
      </c>
      <c r="I43" s="285">
        <f t="shared" si="26"/>
        <v>162795</v>
      </c>
      <c r="J43" s="285">
        <f t="shared" si="26"/>
        <v>163273</v>
      </c>
      <c r="K43" s="285">
        <f t="shared" si="26"/>
        <v>163769</v>
      </c>
      <c r="L43" s="285">
        <f t="shared" si="26"/>
        <v>163557</v>
      </c>
      <c r="M43" s="285">
        <f t="shared" si="26"/>
        <v>163799</v>
      </c>
      <c r="N43" s="285">
        <f t="shared" si="26"/>
        <v>164139</v>
      </c>
      <c r="O43" s="285">
        <f t="shared" si="26"/>
        <v>164584</v>
      </c>
      <c r="P43" s="285">
        <f t="shared" si="26"/>
        <v>165152</v>
      </c>
      <c r="Q43" s="285">
        <f t="shared" si="26"/>
        <v>165646</v>
      </c>
      <c r="R43" s="285">
        <f t="shared" si="26"/>
        <v>166339.1</v>
      </c>
      <c r="S43" s="285">
        <f>SUM(S44:S47)</f>
        <v>166011</v>
      </c>
      <c r="T43" s="285">
        <f>SUM(T44:T47)</f>
        <v>165008</v>
      </c>
      <c r="U43" s="285">
        <f>SUM(U44:U47)</f>
        <v>165464.80000000002</v>
      </c>
      <c r="V43" s="285">
        <f>SUM(V44:V47)</f>
        <v>165787</v>
      </c>
      <c r="W43" s="285">
        <f>SUM(W44:W47)+1</f>
        <v>165907</v>
      </c>
      <c r="X43" s="286">
        <f>SUM(X44:X47)</f>
        <v>165593</v>
      </c>
      <c r="Y43" s="286">
        <f>SUM(Y44:Y47)</f>
        <v>165361</v>
      </c>
      <c r="Z43" s="286">
        <f>SUM(Z44:Z47)</f>
        <v>165639</v>
      </c>
      <c r="AA43" s="286">
        <f>SUM(AA44:AA47)</f>
        <v>166003</v>
      </c>
      <c r="AB43" s="286">
        <f>SUM(AB44:AB47)</f>
        <v>165483</v>
      </c>
      <c r="AC43" s="228"/>
    </row>
    <row r="44" spans="1:31" ht="12" customHeight="1">
      <c r="A44" s="67" t="s">
        <v>256</v>
      </c>
      <c r="B44" s="89">
        <v>1898</v>
      </c>
      <c r="C44" s="89">
        <v>1957</v>
      </c>
      <c r="D44" s="89">
        <v>1991</v>
      </c>
      <c r="E44" s="89">
        <v>1991</v>
      </c>
      <c r="F44" s="89">
        <v>2023</v>
      </c>
      <c r="G44" s="89">
        <v>2023</v>
      </c>
      <c r="H44" s="89">
        <v>2017</v>
      </c>
      <c r="I44" s="89">
        <v>2063</v>
      </c>
      <c r="J44" s="89">
        <v>2072</v>
      </c>
      <c r="K44" s="89">
        <v>2239</v>
      </c>
      <c r="L44" s="89">
        <v>2202</v>
      </c>
      <c r="M44" s="21">
        <v>2277</v>
      </c>
      <c r="N44" s="36">
        <v>2386</v>
      </c>
      <c r="O44" s="36">
        <v>2517</v>
      </c>
      <c r="P44" s="21">
        <v>2640</v>
      </c>
      <c r="Q44" s="21">
        <v>2648</v>
      </c>
      <c r="R44" s="21">
        <v>2814.9</v>
      </c>
      <c r="S44" s="21">
        <v>2972</v>
      </c>
      <c r="T44" s="21">
        <v>2997</v>
      </c>
      <c r="U44" s="21">
        <v>3016.45</v>
      </c>
      <c r="V44" s="21">
        <v>2991</v>
      </c>
      <c r="W44" s="21">
        <v>3044</v>
      </c>
      <c r="X44" s="112">
        <v>3025</v>
      </c>
      <c r="Y44" s="112">
        <v>3026</v>
      </c>
      <c r="Z44" s="112">
        <v>3020</v>
      </c>
      <c r="AA44" s="112">
        <v>3040</v>
      </c>
      <c r="AB44" s="112">
        <v>3039</v>
      </c>
      <c r="AC44" s="244"/>
      <c r="AD44" s="8"/>
      <c r="AE44" s="8"/>
    </row>
    <row r="45" spans="1:31" ht="12" customHeight="1">
      <c r="A45" s="67" t="s">
        <v>257</v>
      </c>
      <c r="B45" s="89">
        <v>2537</v>
      </c>
      <c r="C45" s="89">
        <v>3108</v>
      </c>
      <c r="D45" s="89">
        <v>4218</v>
      </c>
      <c r="E45" s="89">
        <v>4586</v>
      </c>
      <c r="F45" s="89">
        <v>4474</v>
      </c>
      <c r="G45" s="89">
        <v>4939</v>
      </c>
      <c r="H45" s="89">
        <v>5278</v>
      </c>
      <c r="I45" s="89">
        <v>5687</v>
      </c>
      <c r="J45" s="89">
        <v>6197</v>
      </c>
      <c r="K45" s="89">
        <v>6654</v>
      </c>
      <c r="L45" s="89">
        <v>6847</v>
      </c>
      <c r="M45" s="21">
        <v>7294</v>
      </c>
      <c r="N45" s="36">
        <v>7353</v>
      </c>
      <c r="O45" s="36">
        <v>7779</v>
      </c>
      <c r="P45" s="21">
        <v>8107</v>
      </c>
      <c r="Q45" s="21">
        <v>8784</v>
      </c>
      <c r="R45" s="21">
        <v>9259.7</v>
      </c>
      <c r="S45" s="21">
        <v>10041</v>
      </c>
      <c r="T45" s="21">
        <v>10521</v>
      </c>
      <c r="U45" s="21">
        <v>11005.45</v>
      </c>
      <c r="V45" s="21">
        <v>11271</v>
      </c>
      <c r="W45" s="21">
        <v>11508</v>
      </c>
      <c r="X45" s="112">
        <v>11676</v>
      </c>
      <c r="Y45" s="112">
        <v>11955</v>
      </c>
      <c r="Z45" s="112">
        <v>12029</v>
      </c>
      <c r="AA45" s="112">
        <v>12296</v>
      </c>
      <c r="AB45" s="112">
        <v>12405</v>
      </c>
      <c r="AC45" s="244"/>
      <c r="AD45" s="8"/>
      <c r="AE45" s="8"/>
    </row>
    <row r="46" spans="1:29" s="8" customFormat="1" ht="12" customHeight="1">
      <c r="A46" s="67" t="s">
        <v>1794</v>
      </c>
      <c r="B46" s="89">
        <v>691</v>
      </c>
      <c r="C46" s="89">
        <v>736</v>
      </c>
      <c r="D46" s="89">
        <v>779</v>
      </c>
      <c r="E46" s="89">
        <v>827</v>
      </c>
      <c r="F46" s="89">
        <v>1251</v>
      </c>
      <c r="G46" s="89">
        <v>1171</v>
      </c>
      <c r="H46" s="89">
        <v>1205</v>
      </c>
      <c r="I46" s="89">
        <v>1313</v>
      </c>
      <c r="J46" s="89">
        <v>1380</v>
      </c>
      <c r="K46" s="89">
        <v>1413</v>
      </c>
      <c r="L46" s="89">
        <v>1394</v>
      </c>
      <c r="M46" s="36">
        <v>1581</v>
      </c>
      <c r="N46" s="36">
        <v>1667</v>
      </c>
      <c r="O46" s="36">
        <v>1713</v>
      </c>
      <c r="P46" s="36">
        <v>1697</v>
      </c>
      <c r="Q46" s="36">
        <v>1724</v>
      </c>
      <c r="R46" s="36">
        <v>1797.5</v>
      </c>
      <c r="S46" s="36">
        <v>1676</v>
      </c>
      <c r="T46" s="36">
        <v>1587</v>
      </c>
      <c r="U46" s="36">
        <v>1599.45</v>
      </c>
      <c r="V46" s="36">
        <v>1703</v>
      </c>
      <c r="W46" s="36">
        <v>1651</v>
      </c>
      <c r="X46" s="113">
        <v>1633</v>
      </c>
      <c r="Y46" s="113">
        <v>1602</v>
      </c>
      <c r="Z46" s="113">
        <v>1656</v>
      </c>
      <c r="AA46" s="113">
        <v>1686</v>
      </c>
      <c r="AB46" s="113">
        <v>1665</v>
      </c>
      <c r="AC46" s="244"/>
    </row>
    <row r="47" spans="1:29" s="10" customFormat="1" ht="12" customHeight="1">
      <c r="A47" s="67" t="s">
        <v>258</v>
      </c>
      <c r="B47" s="89">
        <f aca="true" t="shared" si="27" ref="B47:M47">SUM(B48:B49)</f>
        <v>151046</v>
      </c>
      <c r="C47" s="89">
        <f t="shared" si="27"/>
        <v>151173</v>
      </c>
      <c r="D47" s="89">
        <f t="shared" si="27"/>
        <v>151336</v>
      </c>
      <c r="E47" s="89">
        <f t="shared" si="27"/>
        <v>152226</v>
      </c>
      <c r="F47" s="89">
        <f t="shared" si="27"/>
        <v>154448</v>
      </c>
      <c r="G47" s="89">
        <f t="shared" si="27"/>
        <v>154484</v>
      </c>
      <c r="H47" s="89">
        <f t="shared" si="27"/>
        <v>153600</v>
      </c>
      <c r="I47" s="89">
        <f t="shared" si="27"/>
        <v>153732</v>
      </c>
      <c r="J47" s="89">
        <f t="shared" si="27"/>
        <v>153624</v>
      </c>
      <c r="K47" s="89">
        <f t="shared" si="27"/>
        <v>153463</v>
      </c>
      <c r="L47" s="89">
        <f t="shared" si="27"/>
        <v>153114</v>
      </c>
      <c r="M47" s="89">
        <f t="shared" si="27"/>
        <v>152647</v>
      </c>
      <c r="N47" s="36">
        <v>152733</v>
      </c>
      <c r="O47" s="36">
        <f>SUM(O48:O49)</f>
        <v>152575</v>
      </c>
      <c r="P47" s="21">
        <v>152708</v>
      </c>
      <c r="Q47" s="21">
        <v>152490</v>
      </c>
      <c r="R47" s="21">
        <v>152467</v>
      </c>
      <c r="S47" s="21">
        <v>151322</v>
      </c>
      <c r="T47" s="21">
        <v>149903</v>
      </c>
      <c r="U47" s="21">
        <v>149843.45</v>
      </c>
      <c r="V47" s="21">
        <v>149822</v>
      </c>
      <c r="W47" s="21">
        <v>149703</v>
      </c>
      <c r="X47" s="112">
        <v>149259</v>
      </c>
      <c r="Y47" s="112">
        <v>148778</v>
      </c>
      <c r="Z47" s="112">
        <v>148934</v>
      </c>
      <c r="AA47" s="112">
        <v>148981</v>
      </c>
      <c r="AB47" s="112">
        <v>148374</v>
      </c>
      <c r="AC47" s="226"/>
    </row>
    <row r="48" spans="1:29" s="10" customFormat="1" ht="12" customHeight="1" hidden="1">
      <c r="A48" s="67" t="s">
        <v>297</v>
      </c>
      <c r="B48" s="95">
        <v>121456</v>
      </c>
      <c r="C48" s="95">
        <v>117491</v>
      </c>
      <c r="D48" s="95">
        <v>114282</v>
      </c>
      <c r="E48" s="95">
        <v>112309</v>
      </c>
      <c r="F48" s="95">
        <v>113748</v>
      </c>
      <c r="G48" s="95">
        <v>111282</v>
      </c>
      <c r="H48" s="95">
        <v>109114</v>
      </c>
      <c r="I48" s="95">
        <v>106894</v>
      </c>
      <c r="J48" s="95">
        <v>106008</v>
      </c>
      <c r="K48" s="95">
        <v>103649</v>
      </c>
      <c r="L48" s="95">
        <v>102096</v>
      </c>
      <c r="M48" s="79">
        <v>103234</v>
      </c>
      <c r="N48" s="105">
        <f>N47-N49</f>
        <v>102675</v>
      </c>
      <c r="O48" s="105">
        <v>101520</v>
      </c>
      <c r="X48" s="11"/>
      <c r="Y48" s="11"/>
      <c r="Z48" s="11"/>
      <c r="AA48" s="11"/>
      <c r="AB48" s="11"/>
      <c r="AC48" s="227"/>
    </row>
    <row r="49" spans="1:28" s="14" customFormat="1" ht="12" customHeight="1" hidden="1">
      <c r="A49" s="67" t="s">
        <v>261</v>
      </c>
      <c r="B49" s="95">
        <v>29590</v>
      </c>
      <c r="C49" s="95">
        <v>33682</v>
      </c>
      <c r="D49" s="95">
        <v>37054</v>
      </c>
      <c r="E49" s="95">
        <v>39917</v>
      </c>
      <c r="F49" s="95">
        <v>40700</v>
      </c>
      <c r="G49" s="95">
        <v>43202</v>
      </c>
      <c r="H49" s="95">
        <v>44486</v>
      </c>
      <c r="I49" s="95">
        <v>46838</v>
      </c>
      <c r="J49" s="95">
        <v>47616</v>
      </c>
      <c r="K49" s="95">
        <v>49814</v>
      </c>
      <c r="L49" s="95">
        <v>51018</v>
      </c>
      <c r="M49" s="95">
        <v>49413</v>
      </c>
      <c r="N49" s="106">
        <v>50058</v>
      </c>
      <c r="O49" s="106">
        <v>51055</v>
      </c>
      <c r="X49" s="177"/>
      <c r="Y49" s="177"/>
      <c r="Z49" s="177"/>
      <c r="AA49" s="177"/>
      <c r="AB49" s="177"/>
    </row>
    <row r="50" spans="1:28" s="10" customFormat="1" ht="12" customHeight="1">
      <c r="A50" s="88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102"/>
      <c r="N50" s="102"/>
      <c r="O50" s="102"/>
      <c r="P50" s="121"/>
      <c r="Q50" s="121"/>
      <c r="R50" s="121"/>
      <c r="S50" s="121"/>
      <c r="T50" s="121"/>
      <c r="U50" s="121"/>
      <c r="V50" s="121"/>
      <c r="W50" s="121"/>
      <c r="X50" s="102"/>
      <c r="Y50" s="102"/>
      <c r="Z50" s="102"/>
      <c r="AA50" s="102"/>
      <c r="AB50" s="102"/>
    </row>
    <row r="51" spans="1:27" ht="31.5" customHeight="1">
      <c r="A51" s="454" t="s">
        <v>1782</v>
      </c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</row>
    <row r="52" spans="1:13" ht="12">
      <c r="A52" s="188" t="s">
        <v>462</v>
      </c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 ht="12">
      <c r="A53" s="188" t="s">
        <v>1793</v>
      </c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12">
      <c r="A54" s="188" t="s">
        <v>1883</v>
      </c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s="10" customFormat="1" ht="12">
      <c r="A55" s="67" t="s">
        <v>120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1:13" ht="1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4" s="127" customFormat="1" ht="14.25">
      <c r="A57" s="126"/>
      <c r="B57" s="126"/>
      <c r="C57" s="126"/>
      <c r="D57" s="126"/>
      <c r="E57" s="126"/>
      <c r="F57" s="126"/>
      <c r="G57" s="126"/>
      <c r="J57" s="126"/>
      <c r="M57" s="126"/>
      <c r="N57" s="126"/>
    </row>
    <row r="58" spans="8:14" ht="12">
      <c r="H58" s="21"/>
      <c r="J58" s="125"/>
      <c r="M58" s="125"/>
      <c r="N58" s="58"/>
    </row>
    <row r="59" ht="12">
      <c r="J59" s="21"/>
    </row>
    <row r="60" s="128" customFormat="1" ht="14.25">
      <c r="J60" s="129"/>
    </row>
    <row r="61" spans="1:15" s="26" customFormat="1" ht="12">
      <c r="A61" s="4"/>
      <c r="H61" s="58"/>
      <c r="J61" s="125"/>
      <c r="M61" s="125"/>
      <c r="N61" s="4"/>
      <c r="O61" s="4"/>
    </row>
    <row r="62" s="26" customFormat="1" ht="12">
      <c r="J62" s="21"/>
    </row>
    <row r="63" spans="1:15" ht="14.25">
      <c r="A63" s="126"/>
      <c r="B63" s="126"/>
      <c r="C63" s="126"/>
      <c r="D63" s="126"/>
      <c r="E63" s="126"/>
      <c r="F63" s="126"/>
      <c r="G63" s="126"/>
      <c r="H63" s="127"/>
      <c r="J63" s="126"/>
      <c r="M63" s="126"/>
      <c r="N63" s="126"/>
      <c r="O63" s="127"/>
    </row>
    <row r="64" spans="1:13" s="10" customFormat="1" ht="12">
      <c r="A64" s="4"/>
      <c r="H64" s="21"/>
      <c r="J64" s="125"/>
      <c r="M64" s="125"/>
    </row>
    <row r="65" ht="12"/>
    <row r="66" ht="12"/>
    <row r="67" ht="12"/>
    <row r="68" ht="12"/>
    <row r="69" spans="11:12" s="26" customFormat="1" ht="12">
      <c r="K69" s="62"/>
      <c r="L69" s="21"/>
    </row>
    <row r="70" spans="11:12" s="26" customFormat="1" ht="12">
      <c r="K70" s="62"/>
      <c r="L70" s="21"/>
    </row>
    <row r="71" spans="11:12" s="26" customFormat="1" ht="12">
      <c r="K71" s="62"/>
      <c r="L71" s="21"/>
    </row>
    <row r="72" ht="12"/>
    <row r="73" spans="11:12" s="10" customFormat="1" ht="12">
      <c r="K73" s="61"/>
      <c r="L73" s="21"/>
    </row>
    <row r="74" ht="12"/>
    <row r="75" ht="12"/>
    <row r="76" ht="12"/>
    <row r="77" ht="12"/>
    <row r="78" spans="11:12" s="26" customFormat="1" ht="12">
      <c r="K78" s="62"/>
      <c r="L78" s="21"/>
    </row>
    <row r="79" spans="11:12" s="26" customFormat="1" ht="12">
      <c r="K79" s="62"/>
      <c r="L79" s="21"/>
    </row>
    <row r="80" spans="11:12" s="26" customFormat="1" ht="12">
      <c r="K80" s="62"/>
      <c r="L80" s="21"/>
    </row>
    <row r="81" ht="12"/>
    <row r="82" spans="11:12" s="10" customFormat="1" ht="12">
      <c r="K82" s="61"/>
      <c r="L82" s="21"/>
    </row>
    <row r="83" spans="11:12" s="44" customFormat="1" ht="12">
      <c r="K83" s="63"/>
      <c r="L83" s="21"/>
    </row>
    <row r="84" spans="11:12" s="44" customFormat="1" ht="12">
      <c r="K84" s="63"/>
      <c r="L84" s="21"/>
    </row>
    <row r="85" spans="11:12" s="44" customFormat="1" ht="12">
      <c r="K85" s="63"/>
      <c r="L85" s="21"/>
    </row>
    <row r="86" spans="11:12" s="44" customFormat="1" ht="12">
      <c r="K86" s="63"/>
      <c r="L86" s="21"/>
    </row>
    <row r="87" spans="11:12" s="45" customFormat="1" ht="12">
      <c r="K87" s="70"/>
      <c r="L87" s="21"/>
    </row>
    <row r="88" spans="11:12" s="45" customFormat="1" ht="12">
      <c r="K88" s="70"/>
      <c r="L88" s="21"/>
    </row>
    <row r="89" spans="11:12" s="45" customFormat="1" ht="12">
      <c r="K89" s="70"/>
      <c r="L89" s="21"/>
    </row>
    <row r="90" spans="11:12" s="44" customFormat="1" ht="12">
      <c r="K90" s="63"/>
      <c r="L90" s="21"/>
    </row>
    <row r="91" spans="11:12" s="44" customFormat="1" ht="12">
      <c r="K91" s="63"/>
      <c r="L91" s="21"/>
    </row>
    <row r="92" ht="12"/>
    <row r="93" ht="12"/>
    <row r="94" spans="11:12" s="8" customFormat="1" ht="12">
      <c r="K94" s="59"/>
      <c r="L94" s="36"/>
    </row>
    <row r="95" spans="11:12" s="9" customFormat="1" ht="12">
      <c r="K95" s="60"/>
      <c r="L95" s="36"/>
    </row>
    <row r="96" spans="11:12" s="10" customFormat="1" ht="12">
      <c r="K96" s="61"/>
      <c r="L96" s="21"/>
    </row>
    <row r="97" spans="11:12" s="14" customFormat="1" ht="18" customHeight="1">
      <c r="K97" s="69"/>
      <c r="L97" s="86"/>
    </row>
    <row r="98" spans="11:12" s="10" customFormat="1" ht="18" customHeight="1">
      <c r="K98" s="61"/>
      <c r="L98" s="21"/>
    </row>
    <row r="99" ht="12"/>
    <row r="100" spans="11:12" s="10" customFormat="1" ht="12">
      <c r="K100" s="61"/>
      <c r="L100" s="21"/>
    </row>
    <row r="101" ht="12"/>
    <row r="102" ht="12"/>
    <row r="103" ht="12"/>
    <row r="104" ht="12"/>
    <row r="105" spans="11:12" s="26" customFormat="1" ht="12">
      <c r="K105" s="62"/>
      <c r="L105" s="21"/>
    </row>
    <row r="106" spans="11:12" s="26" customFormat="1" ht="12">
      <c r="K106" s="62"/>
      <c r="L106" s="21"/>
    </row>
    <row r="107" spans="11:12" s="26" customFormat="1" ht="12">
      <c r="K107" s="62"/>
      <c r="L107" s="21"/>
    </row>
    <row r="108" ht="12"/>
    <row r="109" spans="11:12" s="10" customFormat="1" ht="12">
      <c r="K109" s="61"/>
      <c r="L109" s="21"/>
    </row>
    <row r="110" ht="12"/>
    <row r="111" ht="12"/>
    <row r="112" ht="12"/>
    <row r="113" ht="12"/>
    <row r="114" spans="11:12" s="26" customFormat="1" ht="12">
      <c r="K114" s="62"/>
      <c r="L114" s="21"/>
    </row>
    <row r="115" spans="11:12" s="26" customFormat="1" ht="12">
      <c r="K115" s="62"/>
      <c r="L115" s="21"/>
    </row>
    <row r="116" spans="11:12" s="26" customFormat="1" ht="12">
      <c r="K116" s="62"/>
      <c r="L116" s="21"/>
    </row>
    <row r="117" ht="12"/>
    <row r="118" spans="11:12" s="10" customFormat="1" ht="12">
      <c r="K118" s="61"/>
      <c r="L118" s="21"/>
    </row>
    <row r="119" ht="12"/>
    <row r="120" ht="12"/>
    <row r="121" ht="12"/>
    <row r="122" ht="12"/>
    <row r="123" spans="11:12" s="26" customFormat="1" ht="12">
      <c r="K123" s="62"/>
      <c r="L123" s="21"/>
    </row>
    <row r="124" spans="11:12" s="26" customFormat="1" ht="12">
      <c r="K124" s="62"/>
      <c r="L124" s="21"/>
    </row>
    <row r="125" spans="11:12" s="26" customFormat="1" ht="12">
      <c r="K125" s="62"/>
      <c r="L125" s="21"/>
    </row>
    <row r="126" ht="12"/>
    <row r="127" spans="11:12" s="10" customFormat="1" ht="12">
      <c r="K127" s="61"/>
      <c r="L127" s="21"/>
    </row>
    <row r="128" ht="12"/>
    <row r="129" ht="12"/>
    <row r="130" ht="12"/>
    <row r="131" ht="12"/>
    <row r="132" spans="11:12" s="26" customFormat="1" ht="12">
      <c r="K132" s="62"/>
      <c r="L132" s="21"/>
    </row>
    <row r="133" spans="11:12" s="26" customFormat="1" ht="12">
      <c r="K133" s="62"/>
      <c r="L133" s="21"/>
    </row>
    <row r="134" spans="11:12" s="26" customFormat="1" ht="12">
      <c r="K134" s="62"/>
      <c r="L134" s="21"/>
    </row>
    <row r="135" ht="12"/>
    <row r="136" ht="12"/>
    <row r="137" ht="12"/>
    <row r="138" ht="12"/>
    <row r="139" ht="12"/>
    <row r="140" spans="11:12" s="8" customFormat="1" ht="12">
      <c r="K140" s="59"/>
      <c r="L140" s="36"/>
    </row>
    <row r="141" spans="11:12" s="9" customFormat="1" ht="12">
      <c r="K141" s="60"/>
      <c r="L141" s="36"/>
    </row>
    <row r="142" spans="11:12" s="10" customFormat="1" ht="12">
      <c r="K142" s="61"/>
      <c r="L142" s="21"/>
    </row>
    <row r="143" spans="11:12" s="14" customFormat="1" ht="18" customHeight="1">
      <c r="K143" s="69"/>
      <c r="L143" s="86"/>
    </row>
    <row r="144" spans="11:12" s="10" customFormat="1" ht="18" customHeight="1">
      <c r="K144" s="61"/>
      <c r="L144" s="21"/>
    </row>
    <row r="145" ht="12"/>
    <row r="146" spans="11:12" s="10" customFormat="1" ht="12">
      <c r="K146" s="61"/>
      <c r="L146" s="21"/>
    </row>
    <row r="147" ht="12"/>
    <row r="148" ht="12"/>
    <row r="149" ht="12"/>
    <row r="150" ht="12"/>
    <row r="151" spans="11:12" s="26" customFormat="1" ht="12">
      <c r="K151" s="62"/>
      <c r="L151" s="21"/>
    </row>
    <row r="152" spans="11:12" s="26" customFormat="1" ht="12">
      <c r="K152" s="62"/>
      <c r="L152" s="21"/>
    </row>
    <row r="153" spans="11:12" s="26" customFormat="1" ht="12">
      <c r="K153" s="62"/>
      <c r="L153" s="21"/>
    </row>
    <row r="154" ht="12"/>
    <row r="155" spans="11:12" s="10" customFormat="1" ht="12">
      <c r="K155" s="61"/>
      <c r="L155" s="21"/>
    </row>
    <row r="156" ht="12"/>
    <row r="157" ht="12"/>
    <row r="158" ht="12"/>
    <row r="159" ht="12"/>
    <row r="160" spans="11:12" s="26" customFormat="1" ht="12">
      <c r="K160" s="62"/>
      <c r="L160" s="21"/>
    </row>
    <row r="161" spans="11:12" s="26" customFormat="1" ht="12">
      <c r="K161" s="62"/>
      <c r="L161" s="21"/>
    </row>
    <row r="162" spans="11:12" s="26" customFormat="1" ht="12">
      <c r="K162" s="62"/>
      <c r="L162" s="21"/>
    </row>
    <row r="163" ht="12"/>
    <row r="164" spans="11:12" s="10" customFormat="1" ht="12">
      <c r="K164" s="61"/>
      <c r="L164" s="21"/>
    </row>
    <row r="165" ht="12"/>
    <row r="166" ht="12"/>
    <row r="167" ht="12"/>
    <row r="168" ht="12"/>
    <row r="169" spans="11:12" s="26" customFormat="1" ht="12">
      <c r="K169" s="62"/>
      <c r="L169" s="21"/>
    </row>
    <row r="170" spans="11:12" s="26" customFormat="1" ht="12">
      <c r="K170" s="62"/>
      <c r="L170" s="21"/>
    </row>
    <row r="171" spans="11:12" s="26" customFormat="1" ht="12">
      <c r="K171" s="62"/>
      <c r="L171" s="21"/>
    </row>
    <row r="172" ht="12"/>
    <row r="173" spans="11:12" s="10" customFormat="1" ht="12">
      <c r="K173" s="61"/>
      <c r="L173" s="21"/>
    </row>
    <row r="174" ht="12"/>
    <row r="175" ht="12"/>
    <row r="176" ht="12"/>
    <row r="177" ht="12"/>
    <row r="178" spans="11:12" s="26" customFormat="1" ht="12">
      <c r="K178" s="62"/>
      <c r="L178" s="21"/>
    </row>
    <row r="179" spans="11:12" s="26" customFormat="1" ht="12">
      <c r="K179" s="62"/>
      <c r="L179" s="21"/>
    </row>
    <row r="180" spans="11:12" s="26" customFormat="1" ht="12">
      <c r="K180" s="62"/>
      <c r="L180" s="21"/>
    </row>
    <row r="181" ht="12"/>
    <row r="182" ht="12"/>
    <row r="183" ht="12"/>
    <row r="184" spans="1:7" ht="12">
      <c r="A184" s="20"/>
      <c r="B184" s="2"/>
      <c r="C184" s="2"/>
      <c r="D184" s="2"/>
      <c r="E184" s="3"/>
      <c r="F184" s="3"/>
      <c r="G184" s="3"/>
    </row>
    <row r="185" ht="12"/>
    <row r="186" spans="11:12" s="8" customFormat="1" ht="12">
      <c r="K186" s="59"/>
      <c r="L186" s="36"/>
    </row>
    <row r="187" spans="11:12" s="10" customFormat="1" ht="12.75" customHeight="1">
      <c r="K187" s="61"/>
      <c r="L187" s="21"/>
    </row>
    <row r="188" spans="11:12" s="10" customFormat="1" ht="12">
      <c r="K188" s="61"/>
      <c r="L188" s="21"/>
    </row>
    <row r="189" spans="11:12" s="14" customFormat="1" ht="18" customHeight="1">
      <c r="K189" s="69"/>
      <c r="L189" s="86"/>
    </row>
    <row r="190" spans="11:12" s="10" customFormat="1" ht="18" customHeight="1">
      <c r="K190" s="61"/>
      <c r="L190" s="21"/>
    </row>
    <row r="191" ht="12"/>
    <row r="192" spans="11:12" s="10" customFormat="1" ht="12">
      <c r="K192" s="61"/>
      <c r="L192" s="21"/>
    </row>
    <row r="193" ht="12"/>
    <row r="194" ht="12"/>
    <row r="195" ht="12"/>
    <row r="196" ht="12"/>
    <row r="197" spans="11:12" s="26" customFormat="1" ht="12">
      <c r="K197" s="62"/>
      <c r="L197" s="21"/>
    </row>
    <row r="198" spans="11:12" s="26" customFormat="1" ht="12">
      <c r="K198" s="62"/>
      <c r="L198" s="21"/>
    </row>
    <row r="199" spans="11:12" s="26" customFormat="1" ht="12">
      <c r="K199" s="62"/>
      <c r="L199" s="21"/>
    </row>
    <row r="200" ht="12"/>
    <row r="201" spans="11:12" s="10" customFormat="1" ht="12">
      <c r="K201" s="61"/>
      <c r="L201" s="21"/>
    </row>
    <row r="202" ht="12"/>
    <row r="203" ht="12"/>
    <row r="204" ht="12"/>
    <row r="205" ht="12"/>
    <row r="206" spans="11:12" s="26" customFormat="1" ht="12">
      <c r="K206" s="62"/>
      <c r="L206" s="21"/>
    </row>
    <row r="207" spans="11:12" s="26" customFormat="1" ht="12">
      <c r="K207" s="62"/>
      <c r="L207" s="21"/>
    </row>
    <row r="208" spans="11:12" s="26" customFormat="1" ht="12">
      <c r="K208" s="62"/>
      <c r="L208" s="21"/>
    </row>
    <row r="209" ht="12"/>
    <row r="210" spans="11:12" s="10" customFormat="1" ht="12">
      <c r="K210" s="61"/>
      <c r="L210" s="21"/>
    </row>
    <row r="211" ht="12"/>
    <row r="212" ht="12"/>
    <row r="213" ht="12"/>
    <row r="214" ht="12"/>
    <row r="215" spans="11:12" s="26" customFormat="1" ht="12">
      <c r="K215" s="62"/>
      <c r="L215" s="21"/>
    </row>
    <row r="216" spans="11:12" s="26" customFormat="1" ht="12">
      <c r="K216" s="62"/>
      <c r="L216" s="21"/>
    </row>
    <row r="217" spans="11:12" s="26" customFormat="1" ht="12">
      <c r="K217" s="62"/>
      <c r="L217" s="21"/>
    </row>
    <row r="218" ht="12"/>
    <row r="219" spans="11:12" s="10" customFormat="1" ht="12">
      <c r="K219" s="61"/>
      <c r="L219" s="21"/>
    </row>
    <row r="220" ht="12"/>
    <row r="221" ht="12"/>
    <row r="222" ht="12"/>
    <row r="223" ht="12"/>
    <row r="224" spans="11:12" s="26" customFormat="1" ht="12">
      <c r="K224" s="62"/>
      <c r="L224" s="21"/>
    </row>
    <row r="225" spans="11:12" s="26" customFormat="1" ht="12">
      <c r="K225" s="62"/>
      <c r="L225" s="21"/>
    </row>
    <row r="226" spans="11:12" s="26" customFormat="1" ht="12">
      <c r="K226" s="62"/>
      <c r="L226" s="21"/>
    </row>
    <row r="227" ht="12"/>
    <row r="228" ht="12"/>
    <row r="229" ht="12"/>
    <row r="230" spans="1:7" ht="12">
      <c r="A230" s="20"/>
      <c r="B230" s="2"/>
      <c r="C230" s="2"/>
      <c r="D230" s="2"/>
      <c r="E230" s="3"/>
      <c r="F230" s="3"/>
      <c r="G230" s="3"/>
    </row>
    <row r="231" spans="1:7" ht="12">
      <c r="A231" s="50"/>
      <c r="B231" s="51"/>
      <c r="C231" s="51"/>
      <c r="D231" s="51"/>
      <c r="E231" s="52"/>
      <c r="F231" s="56"/>
      <c r="G231" s="56"/>
    </row>
    <row r="232" spans="1:7" ht="12">
      <c r="A232" s="20"/>
      <c r="B232" s="16"/>
      <c r="C232" s="16"/>
      <c r="D232" s="16"/>
      <c r="E232" s="57"/>
      <c r="F232" s="17"/>
      <c r="G232" s="17"/>
    </row>
    <row r="233" spans="1:7" ht="12">
      <c r="A233" s="44"/>
      <c r="B233" s="16"/>
      <c r="C233" s="16"/>
      <c r="D233" s="16"/>
      <c r="E233" s="57"/>
      <c r="F233" s="17"/>
      <c r="G233" s="17"/>
    </row>
    <row r="813" spans="3:4" ht="12.75" customHeight="1">
      <c r="C813" s="256"/>
      <c r="D813" s="256"/>
    </row>
  </sheetData>
  <sheetProtection/>
  <mergeCells count="1">
    <mergeCell ref="A51:AA51"/>
  </mergeCells>
  <printOptions/>
  <pageMargins left="0.5905511811023623" right="0.3937007874015748" top="0.5511811023622047" bottom="0" header="0" footer="0"/>
  <pageSetup fitToHeight="1" fitToWidth="1" horizontalDpi="600" verticalDpi="600" orientation="landscape" paperSize="9" scale="97" r:id="rId1"/>
  <rowBreaks count="3" manualBreakCount="3">
    <brk id="92" max="9" man="1"/>
    <brk id="138" max="9" man="1"/>
    <brk id="184" max="9" man="1"/>
  </rowBreaks>
  <ignoredErrors>
    <ignoredError sqref="L7:O37 P7:R38 T7:V15 S7 S37:S38 T17:V24 T16 V16 S9:S27 S30:S35 T30:V38 T28:U28 T29:U29 T26:V27 T25:U25" formulaRange="1"/>
    <ignoredError sqref="L38:O38 S36 U16" formula="1" formulaRange="1"/>
    <ignoredError sqref="L39:O50 W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3"/>
  <sheetViews>
    <sheetView showGridLines="0" zoomScalePageLayoutView="0" workbookViewId="0" topLeftCell="A1">
      <selection activeCell="D16" sqref="D16"/>
    </sheetView>
  </sheetViews>
  <sheetFormatPr defaultColWidth="11.5546875" defaultRowHeight="12" customHeight="1"/>
  <cols>
    <col min="1" max="1" width="1.4375" style="74" customWidth="1"/>
    <col min="2" max="2" width="20.10546875" style="74" customWidth="1"/>
    <col min="3" max="8" width="6.77734375" style="74" hidden="1" customWidth="1"/>
    <col min="9" max="9" width="5.77734375" style="74" hidden="1" customWidth="1"/>
    <col min="10" max="12" width="6.77734375" style="74" hidden="1" customWidth="1"/>
    <col min="13" max="13" width="6.77734375" style="21" hidden="1" customWidth="1"/>
    <col min="14" max="20" width="6.77734375" style="74" customWidth="1"/>
    <col min="21" max="29" width="6.99609375" style="74" customWidth="1"/>
    <col min="30" max="16384" width="11.5546875" style="74" customWidth="1"/>
  </cols>
  <sheetData>
    <row r="1" spans="2:12" ht="15" customHeight="1">
      <c r="B1" s="1" t="s">
        <v>1827</v>
      </c>
      <c r="C1" s="2"/>
      <c r="D1" s="2"/>
      <c r="E1" s="2"/>
      <c r="F1" s="21"/>
      <c r="G1" s="21"/>
      <c r="H1" s="37"/>
      <c r="I1" s="4"/>
      <c r="J1" s="4"/>
      <c r="K1" s="4"/>
      <c r="L1" s="58"/>
    </row>
    <row r="2" spans="2:13" ht="12.75" customHeight="1">
      <c r="B2" s="84"/>
      <c r="C2" s="6"/>
      <c r="D2" s="6"/>
      <c r="E2" s="6"/>
      <c r="F2" s="36"/>
      <c r="G2" s="36"/>
      <c r="H2" s="36"/>
      <c r="I2" s="8"/>
      <c r="J2" s="8"/>
      <c r="K2" s="8"/>
      <c r="L2" s="59"/>
      <c r="M2" s="36"/>
    </row>
    <row r="3" spans="2:29" s="67" customFormat="1" ht="12" customHeight="1">
      <c r="B3" s="38"/>
      <c r="C3" s="16"/>
      <c r="D3" s="16"/>
      <c r="E3" s="16"/>
      <c r="F3" s="17"/>
      <c r="G3" s="17"/>
      <c r="H3" s="4"/>
      <c r="I3" s="72"/>
      <c r="J3" s="72"/>
      <c r="K3" s="44"/>
      <c r="L3" s="73"/>
      <c r="N3" s="87"/>
      <c r="O3" s="87"/>
      <c r="Q3" s="87"/>
      <c r="R3" s="87"/>
      <c r="U3" s="87"/>
      <c r="W3" s="87"/>
      <c r="X3" s="87"/>
      <c r="Y3" s="87"/>
      <c r="AA3" s="87"/>
      <c r="AB3" s="87"/>
      <c r="AC3" s="87" t="s">
        <v>252</v>
      </c>
    </row>
    <row r="4" spans="2:29" s="67" customFormat="1" ht="18" customHeight="1">
      <c r="B4" s="258" t="s">
        <v>254</v>
      </c>
      <c r="C4" s="287">
        <v>1990</v>
      </c>
      <c r="D4" s="287">
        <v>1991</v>
      </c>
      <c r="E4" s="287">
        <v>1992</v>
      </c>
      <c r="F4" s="288">
        <v>1993</v>
      </c>
      <c r="G4" s="287">
        <v>1994</v>
      </c>
      <c r="H4" s="288">
        <v>1995</v>
      </c>
      <c r="I4" s="288">
        <v>1996</v>
      </c>
      <c r="J4" s="288">
        <v>1997</v>
      </c>
      <c r="K4" s="288">
        <v>1998</v>
      </c>
      <c r="L4" s="289">
        <v>1999</v>
      </c>
      <c r="M4" s="262">
        <v>2000</v>
      </c>
      <c r="N4" s="290">
        <v>2001</v>
      </c>
      <c r="O4" s="290">
        <v>2002</v>
      </c>
      <c r="P4" s="290">
        <v>2003</v>
      </c>
      <c r="Q4" s="291">
        <v>2004</v>
      </c>
      <c r="R4" s="291">
        <v>2005</v>
      </c>
      <c r="S4" s="291">
        <v>2006</v>
      </c>
      <c r="T4" s="291">
        <v>2007</v>
      </c>
      <c r="U4" s="291">
        <v>2008</v>
      </c>
      <c r="V4" s="291">
        <v>2009</v>
      </c>
      <c r="W4" s="291">
        <v>2010</v>
      </c>
      <c r="X4" s="291">
        <v>2011</v>
      </c>
      <c r="Y4" s="291">
        <v>2012</v>
      </c>
      <c r="Z4" s="291">
        <v>2013</v>
      </c>
      <c r="AA4" s="291">
        <v>2014</v>
      </c>
      <c r="AB4" s="291">
        <v>2015</v>
      </c>
      <c r="AC4" s="291">
        <v>2016</v>
      </c>
    </row>
    <row r="5" spans="2:13" s="67" customFormat="1" ht="12" customHeight="1">
      <c r="B5" s="15"/>
      <c r="C5" s="2"/>
      <c r="D5" s="2"/>
      <c r="E5" s="2"/>
      <c r="F5" s="21"/>
      <c r="G5" s="21"/>
      <c r="H5" s="21"/>
      <c r="I5" s="21"/>
      <c r="J5" s="21"/>
      <c r="K5" s="21"/>
      <c r="L5" s="58"/>
      <c r="M5" s="21"/>
    </row>
    <row r="6" spans="2:29" s="67" customFormat="1" ht="12" customHeight="1">
      <c r="B6" s="264" t="s">
        <v>293</v>
      </c>
      <c r="C6" s="295">
        <f aca="true" t="shared" si="0" ref="C6:R6">SUM(C7:C10)</f>
        <v>1226</v>
      </c>
      <c r="D6" s="295">
        <f t="shared" si="0"/>
        <v>1394.2</v>
      </c>
      <c r="E6" s="295">
        <f t="shared" si="0"/>
        <v>1420.2</v>
      </c>
      <c r="F6" s="295">
        <f t="shared" si="0"/>
        <v>1479.2</v>
      </c>
      <c r="G6" s="295">
        <f t="shared" si="0"/>
        <v>1502.905</v>
      </c>
      <c r="H6" s="295">
        <f t="shared" si="0"/>
        <v>1592.5230000000001</v>
      </c>
      <c r="I6" s="295">
        <f t="shared" si="0"/>
        <v>1600.2</v>
      </c>
      <c r="J6" s="295">
        <f t="shared" si="0"/>
        <v>1674.538</v>
      </c>
      <c r="K6" s="295">
        <f t="shared" si="0"/>
        <v>1691.7</v>
      </c>
      <c r="L6" s="295">
        <f t="shared" si="0"/>
        <v>1716.72</v>
      </c>
      <c r="M6" s="295">
        <f t="shared" si="0"/>
        <v>1724.071</v>
      </c>
      <c r="N6" s="296">
        <f t="shared" si="0"/>
        <v>1796.508</v>
      </c>
      <c r="O6" s="296">
        <f t="shared" si="0"/>
        <v>1723.353</v>
      </c>
      <c r="P6" s="296">
        <f t="shared" si="0"/>
        <v>1726.926</v>
      </c>
      <c r="Q6" s="296">
        <f t="shared" si="0"/>
        <v>1729.656</v>
      </c>
      <c r="R6" s="296">
        <f t="shared" si="0"/>
        <v>1719.649</v>
      </c>
      <c r="S6" s="296">
        <f>SUM(S7:S10)</f>
        <v>1913.316</v>
      </c>
      <c r="T6" s="296">
        <f>SUM(T7:T10)</f>
        <v>1873.486</v>
      </c>
      <c r="U6" s="296">
        <f aca="true" t="shared" si="1" ref="U6:AB6">SUM(U7:U10)</f>
        <v>1878.675</v>
      </c>
      <c r="V6" s="296">
        <f t="shared" si="1"/>
        <v>2009.056</v>
      </c>
      <c r="W6" s="296">
        <f t="shared" si="1"/>
        <v>1972</v>
      </c>
      <c r="X6" s="296">
        <f t="shared" si="1"/>
        <v>2092.647</v>
      </c>
      <c r="Y6" s="296">
        <f t="shared" si="1"/>
        <v>2094.747</v>
      </c>
      <c r="Z6" s="296">
        <f t="shared" si="1"/>
        <v>2079</v>
      </c>
      <c r="AA6" s="296">
        <f t="shared" si="1"/>
        <v>2087.694</v>
      </c>
      <c r="AB6" s="296">
        <f t="shared" si="1"/>
        <v>2080.7</v>
      </c>
      <c r="AC6" s="296">
        <f>SUM(AC7:AC10)</f>
        <v>2080.7</v>
      </c>
    </row>
    <row r="7" spans="2:29" s="67" customFormat="1" ht="12" customHeight="1">
      <c r="B7" s="20" t="s">
        <v>300</v>
      </c>
      <c r="C7" s="2">
        <v>63</v>
      </c>
      <c r="D7" s="2">
        <v>84</v>
      </c>
      <c r="E7" s="2">
        <v>93</v>
      </c>
      <c r="F7" s="3">
        <v>74</v>
      </c>
      <c r="G7" s="3">
        <v>84.74</v>
      </c>
      <c r="H7" s="3">
        <v>146.748</v>
      </c>
      <c r="I7" s="21">
        <v>148</v>
      </c>
      <c r="J7" s="21">
        <v>151.127</v>
      </c>
      <c r="K7" s="21">
        <v>169.9</v>
      </c>
      <c r="L7" s="58">
        <v>187.89</v>
      </c>
      <c r="M7" s="21">
        <v>154</v>
      </c>
      <c r="N7" s="100">
        <v>154</v>
      </c>
      <c r="O7" s="89">
        <v>154</v>
      </c>
      <c r="P7" s="89">
        <v>154</v>
      </c>
      <c r="Q7" s="89">
        <v>154</v>
      </c>
      <c r="R7" s="89">
        <v>154</v>
      </c>
      <c r="S7" s="89">
        <v>154</v>
      </c>
      <c r="T7" s="89">
        <v>154</v>
      </c>
      <c r="U7" s="67">
        <v>154</v>
      </c>
      <c r="V7" s="149">
        <v>154</v>
      </c>
      <c r="W7" s="67">
        <v>158</v>
      </c>
      <c r="X7" s="149">
        <v>157.669</v>
      </c>
      <c r="Y7" s="89">
        <v>157.66899999999998</v>
      </c>
      <c r="Z7" s="89">
        <v>158</v>
      </c>
      <c r="AA7" s="89">
        <v>158</v>
      </c>
      <c r="AB7" s="89">
        <v>159.4</v>
      </c>
      <c r="AC7" s="89">
        <v>159.4</v>
      </c>
    </row>
    <row r="8" spans="2:29" s="67" customFormat="1" ht="12" customHeight="1">
      <c r="B8" s="268" t="s">
        <v>301</v>
      </c>
      <c r="C8" s="269">
        <v>51</v>
      </c>
      <c r="D8" s="269">
        <v>117</v>
      </c>
      <c r="E8" s="269">
        <v>53</v>
      </c>
      <c r="F8" s="270">
        <v>88</v>
      </c>
      <c r="G8" s="270">
        <v>50.497</v>
      </c>
      <c r="H8" s="270">
        <v>62.365</v>
      </c>
      <c r="I8" s="271">
        <v>138</v>
      </c>
      <c r="J8" s="271">
        <f>60.096+77.072</f>
        <v>137.168</v>
      </c>
      <c r="K8" s="271">
        <f>60.1+77.7</f>
        <v>137.8</v>
      </c>
      <c r="L8" s="273">
        <v>56.5</v>
      </c>
      <c r="M8" s="271">
        <v>112</v>
      </c>
      <c r="N8" s="299">
        <v>112</v>
      </c>
      <c r="O8" s="300">
        <v>112</v>
      </c>
      <c r="P8" s="300">
        <v>112</v>
      </c>
      <c r="Q8" s="300">
        <v>129</v>
      </c>
      <c r="R8" s="300">
        <v>156</v>
      </c>
      <c r="S8" s="300">
        <v>165</v>
      </c>
      <c r="T8" s="300">
        <v>167</v>
      </c>
      <c r="U8" s="301">
        <v>179</v>
      </c>
      <c r="V8" s="302">
        <v>179</v>
      </c>
      <c r="W8" s="301">
        <v>179</v>
      </c>
      <c r="X8" s="300">
        <f>48.686+149.292</f>
        <v>197.978</v>
      </c>
      <c r="Y8" s="300">
        <v>197.97799999999998</v>
      </c>
      <c r="Z8" s="300">
        <v>294</v>
      </c>
      <c r="AA8" s="300">
        <v>290.72</v>
      </c>
      <c r="AB8" s="300">
        <v>287.9</v>
      </c>
      <c r="AC8" s="300">
        <v>287.9</v>
      </c>
    </row>
    <row r="9" spans="2:29" s="67" customFormat="1" ht="12" customHeight="1">
      <c r="B9" s="20" t="s">
        <v>1794</v>
      </c>
      <c r="C9" s="2">
        <v>294</v>
      </c>
      <c r="D9" s="2">
        <v>41</v>
      </c>
      <c r="E9" s="2">
        <v>105</v>
      </c>
      <c r="F9" s="3">
        <v>91</v>
      </c>
      <c r="G9" s="3">
        <v>88.525</v>
      </c>
      <c r="H9" s="3">
        <v>96.21</v>
      </c>
      <c r="I9" s="21">
        <v>19</v>
      </c>
      <c r="J9" s="21">
        <v>28.926</v>
      </c>
      <c r="K9" s="21">
        <v>34.8</v>
      </c>
      <c r="L9" s="58">
        <v>99.79</v>
      </c>
      <c r="M9" s="21">
        <v>27</v>
      </c>
      <c r="N9" s="100">
        <v>38</v>
      </c>
      <c r="O9" s="89">
        <v>38</v>
      </c>
      <c r="P9" s="89">
        <v>38</v>
      </c>
      <c r="Q9" s="89">
        <v>38</v>
      </c>
      <c r="R9" s="89">
        <v>38</v>
      </c>
      <c r="S9" s="89">
        <v>38</v>
      </c>
      <c r="T9" s="89">
        <v>38</v>
      </c>
      <c r="U9" s="67">
        <v>39</v>
      </c>
      <c r="V9" s="149">
        <v>45</v>
      </c>
      <c r="W9" s="67">
        <v>50</v>
      </c>
      <c r="X9" s="89">
        <v>50</v>
      </c>
      <c r="Y9" s="89">
        <v>52.1</v>
      </c>
      <c r="Z9" s="89">
        <v>49</v>
      </c>
      <c r="AA9" s="89">
        <v>48.386</v>
      </c>
      <c r="AB9" s="89">
        <v>53.1</v>
      </c>
      <c r="AC9" s="89">
        <v>54.2</v>
      </c>
    </row>
    <row r="10" spans="2:29" s="67" customFormat="1" ht="12" customHeight="1">
      <c r="B10" s="268" t="s">
        <v>258</v>
      </c>
      <c r="C10" s="270">
        <f aca="true" t="shared" si="2" ref="C10:L10">SUM(C11:C13)</f>
        <v>818</v>
      </c>
      <c r="D10" s="270">
        <f t="shared" si="2"/>
        <v>1152.2</v>
      </c>
      <c r="E10" s="270">
        <f t="shared" si="2"/>
        <v>1169.2</v>
      </c>
      <c r="F10" s="270">
        <f t="shared" si="2"/>
        <v>1226.2</v>
      </c>
      <c r="G10" s="270">
        <f t="shared" si="2"/>
        <v>1279.143</v>
      </c>
      <c r="H10" s="270">
        <f t="shared" si="2"/>
        <v>1287.2</v>
      </c>
      <c r="I10" s="270">
        <f t="shared" si="2"/>
        <v>1295.2</v>
      </c>
      <c r="J10" s="270">
        <f t="shared" si="2"/>
        <v>1357.317</v>
      </c>
      <c r="K10" s="270">
        <f t="shared" si="2"/>
        <v>1349.2</v>
      </c>
      <c r="L10" s="270">
        <f t="shared" si="2"/>
        <v>1372.54</v>
      </c>
      <c r="M10" s="270">
        <v>1431.071</v>
      </c>
      <c r="N10" s="303">
        <v>1492.508</v>
      </c>
      <c r="O10" s="303">
        <v>1419.353</v>
      </c>
      <c r="P10" s="303">
        <v>1422.926</v>
      </c>
      <c r="Q10" s="303">
        <v>1408.656</v>
      </c>
      <c r="R10" s="303">
        <v>1371.649</v>
      </c>
      <c r="S10" s="303">
        <v>1556.316</v>
      </c>
      <c r="T10" s="300">
        <v>1514.486</v>
      </c>
      <c r="U10" s="300">
        <v>1506.675</v>
      </c>
      <c r="V10" s="300">
        <v>1631.056</v>
      </c>
      <c r="W10" s="300">
        <v>1585</v>
      </c>
      <c r="X10" s="300">
        <v>1687</v>
      </c>
      <c r="Y10" s="300">
        <v>1687</v>
      </c>
      <c r="Z10" s="300">
        <v>1578</v>
      </c>
      <c r="AA10" s="300">
        <v>1590.588</v>
      </c>
      <c r="AB10" s="300">
        <v>1580.3</v>
      </c>
      <c r="AC10" s="300">
        <v>1579.2</v>
      </c>
    </row>
    <row r="11" spans="2:29" s="67" customFormat="1" ht="12" customHeight="1" hidden="1">
      <c r="B11" s="75" t="s">
        <v>259</v>
      </c>
      <c r="C11" s="76">
        <v>11</v>
      </c>
      <c r="D11" s="77">
        <v>0.2</v>
      </c>
      <c r="E11" s="77">
        <v>0.2</v>
      </c>
      <c r="F11" s="77">
        <v>0.2</v>
      </c>
      <c r="G11" s="77">
        <v>0.2</v>
      </c>
      <c r="H11" s="77">
        <v>0.2</v>
      </c>
      <c r="I11" s="77">
        <v>0.2</v>
      </c>
      <c r="J11" s="77">
        <v>0.2</v>
      </c>
      <c r="K11" s="77">
        <v>0.2</v>
      </c>
      <c r="L11" s="64">
        <f>88.2</f>
        <v>88.2</v>
      </c>
      <c r="M11" s="79">
        <v>88.244</v>
      </c>
      <c r="N11" s="101">
        <v>89.004</v>
      </c>
      <c r="O11" s="95">
        <f>89.441</f>
        <v>89.441</v>
      </c>
      <c r="P11" s="95">
        <f>88.065</f>
        <v>88.065</v>
      </c>
      <c r="Q11" s="95">
        <v>87.826</v>
      </c>
      <c r="R11" s="95">
        <v>86.546</v>
      </c>
      <c r="S11" s="95">
        <v>87</v>
      </c>
      <c r="T11" s="135">
        <v>87</v>
      </c>
      <c r="U11" s="135">
        <v>87</v>
      </c>
      <c r="V11" s="135"/>
      <c r="Y11" s="89"/>
      <c r="Z11" s="89"/>
      <c r="AA11" s="89"/>
      <c r="AB11" s="89"/>
      <c r="AC11" s="89"/>
    </row>
    <row r="12" spans="2:29" s="67" customFormat="1" ht="12" customHeight="1" hidden="1">
      <c r="B12" s="75" t="s">
        <v>260</v>
      </c>
      <c r="C12" s="76">
        <v>676</v>
      </c>
      <c r="D12" s="76">
        <v>543</v>
      </c>
      <c r="E12" s="76">
        <v>561</v>
      </c>
      <c r="F12" s="78">
        <v>1178</v>
      </c>
      <c r="G12" s="78">
        <v>531.741</v>
      </c>
      <c r="H12" s="78">
        <v>532</v>
      </c>
      <c r="I12" s="79">
        <v>546</v>
      </c>
      <c r="J12" s="79">
        <v>545.729</v>
      </c>
      <c r="K12" s="79">
        <f>4.6+547.3</f>
        <v>551.9</v>
      </c>
      <c r="L12" s="64">
        <f>463.4+8.5</f>
        <v>471.9</v>
      </c>
      <c r="M12" s="79">
        <f>8.545+463.401</f>
        <v>471.946</v>
      </c>
      <c r="N12" s="101">
        <f>27.571+465.018</f>
        <v>492.589</v>
      </c>
      <c r="O12" s="95">
        <f>119.496+1140.424</f>
        <v>1259.92</v>
      </c>
      <c r="P12" s="95">
        <f>126.902+1139.076</f>
        <v>1265.978</v>
      </c>
      <c r="Q12" s="95">
        <f>130.286+1136.989</f>
        <v>1267.275</v>
      </c>
      <c r="R12" s="95">
        <f>122.162+1117.924</f>
        <v>1240.086</v>
      </c>
      <c r="S12" s="95">
        <v>1219</v>
      </c>
      <c r="T12" s="135">
        <v>1355</v>
      </c>
      <c r="U12" s="135">
        <v>1396</v>
      </c>
      <c r="V12" s="135"/>
      <c r="Y12" s="89"/>
      <c r="Z12" s="89"/>
      <c r="AA12" s="89"/>
      <c r="AB12" s="89"/>
      <c r="AC12" s="89"/>
    </row>
    <row r="13" spans="2:29" s="67" customFormat="1" ht="12" customHeight="1" hidden="1">
      <c r="B13" s="75" t="s">
        <v>261</v>
      </c>
      <c r="C13" s="76">
        <v>131</v>
      </c>
      <c r="D13" s="76">
        <v>609</v>
      </c>
      <c r="E13" s="76">
        <v>608</v>
      </c>
      <c r="F13" s="78">
        <v>48</v>
      </c>
      <c r="G13" s="78">
        <v>747.202</v>
      </c>
      <c r="H13" s="78">
        <v>755</v>
      </c>
      <c r="I13" s="79">
        <v>749</v>
      </c>
      <c r="J13" s="79">
        <f>717.078+94.31</f>
        <v>811.3879999999999</v>
      </c>
      <c r="K13" s="79">
        <f>97.9+699.2</f>
        <v>797.1</v>
      </c>
      <c r="L13" s="64">
        <v>812.44</v>
      </c>
      <c r="M13" s="79">
        <f>117.025+704.342</f>
        <v>821.367</v>
      </c>
      <c r="N13" s="101">
        <f>163.703+711.205</f>
        <v>874.908</v>
      </c>
      <c r="O13" s="95">
        <f>0.431+29.293</f>
        <v>29.724</v>
      </c>
      <c r="P13" s="95">
        <f>27.902</f>
        <v>27.902</v>
      </c>
      <c r="Q13" s="95">
        <v>27.826</v>
      </c>
      <c r="R13" s="95">
        <v>27.347</v>
      </c>
      <c r="S13" s="95">
        <v>28</v>
      </c>
      <c r="T13" s="135">
        <v>28</v>
      </c>
      <c r="U13" s="135">
        <v>28</v>
      </c>
      <c r="V13" s="135"/>
      <c r="Y13" s="89"/>
      <c r="Z13" s="89"/>
      <c r="AA13" s="89"/>
      <c r="AB13" s="89"/>
      <c r="AC13" s="89"/>
    </row>
    <row r="14" spans="2:29" s="67" customFormat="1" ht="12" customHeight="1">
      <c r="B14" s="15"/>
      <c r="C14" s="42" t="s">
        <v>272</v>
      </c>
      <c r="D14" s="2"/>
      <c r="E14" s="2"/>
      <c r="F14" s="3"/>
      <c r="G14" s="3"/>
      <c r="H14" s="3"/>
      <c r="I14" s="21"/>
      <c r="J14" s="21"/>
      <c r="K14" s="21"/>
      <c r="L14" s="58"/>
      <c r="M14" s="21"/>
      <c r="N14" s="100"/>
      <c r="O14" s="89"/>
      <c r="P14" s="89"/>
      <c r="W14" s="117"/>
      <c r="Y14" s="89"/>
      <c r="Z14" s="89"/>
      <c r="AA14" s="89"/>
      <c r="AB14" s="89"/>
      <c r="AC14" s="89"/>
    </row>
    <row r="15" spans="2:29" s="67" customFormat="1" ht="12" customHeight="1">
      <c r="B15" s="297" t="s">
        <v>262</v>
      </c>
      <c r="C15" s="298">
        <f aca="true" t="shared" si="3" ref="C15:R15">SUM(C16:C19)</f>
        <v>351</v>
      </c>
      <c r="D15" s="298">
        <f t="shared" si="3"/>
        <v>352</v>
      </c>
      <c r="E15" s="298">
        <f t="shared" si="3"/>
        <v>377</v>
      </c>
      <c r="F15" s="298">
        <f t="shared" si="3"/>
        <v>377</v>
      </c>
      <c r="G15" s="298">
        <f t="shared" si="3"/>
        <v>427</v>
      </c>
      <c r="H15" s="298">
        <f t="shared" si="3"/>
        <v>427</v>
      </c>
      <c r="I15" s="298">
        <f t="shared" si="3"/>
        <v>363</v>
      </c>
      <c r="J15" s="298">
        <f t="shared" si="3"/>
        <v>368</v>
      </c>
      <c r="K15" s="298">
        <f t="shared" si="3"/>
        <v>387</v>
      </c>
      <c r="L15" s="298">
        <f t="shared" si="3"/>
        <v>393</v>
      </c>
      <c r="M15" s="298">
        <f t="shared" si="3"/>
        <v>393</v>
      </c>
      <c r="N15" s="298">
        <f t="shared" si="3"/>
        <v>402</v>
      </c>
      <c r="O15" s="298">
        <f t="shared" si="3"/>
        <v>395</v>
      </c>
      <c r="P15" s="298">
        <f t="shared" si="3"/>
        <v>394</v>
      </c>
      <c r="Q15" s="298">
        <f t="shared" si="3"/>
        <v>403</v>
      </c>
      <c r="R15" s="298">
        <f t="shared" si="3"/>
        <v>407</v>
      </c>
      <c r="S15" s="298">
        <f aca="true" t="shared" si="4" ref="S15:X15">SUM(S16:S19)</f>
        <v>402</v>
      </c>
      <c r="T15" s="298">
        <f t="shared" si="4"/>
        <v>391</v>
      </c>
      <c r="U15" s="298">
        <f t="shared" si="4"/>
        <v>351</v>
      </c>
      <c r="V15" s="298">
        <f t="shared" si="4"/>
        <v>351.2</v>
      </c>
      <c r="W15" s="298">
        <f t="shared" si="4"/>
        <v>311</v>
      </c>
      <c r="X15" s="298">
        <f t="shared" si="4"/>
        <v>309.3</v>
      </c>
      <c r="Y15" s="298">
        <f>SUM(Y16:Y19)</f>
        <v>309.3</v>
      </c>
      <c r="Z15" s="298">
        <f>SUM(Z16:Z19)</f>
        <v>307.98</v>
      </c>
      <c r="AA15" s="298">
        <f>SUM(AA16:AA19)</f>
        <v>308</v>
      </c>
      <c r="AB15" s="298">
        <f>SUM(AB16:AB19)</f>
        <v>308</v>
      </c>
      <c r="AC15" s="298">
        <f>SUM(AC16:AC19)</f>
        <v>309.5</v>
      </c>
    </row>
    <row r="16" spans="2:29" s="67" customFormat="1" ht="12" customHeight="1">
      <c r="B16" s="20" t="s">
        <v>256</v>
      </c>
      <c r="C16" s="2">
        <v>148</v>
      </c>
      <c r="D16" s="2">
        <v>148</v>
      </c>
      <c r="E16" s="2">
        <v>148</v>
      </c>
      <c r="F16" s="3">
        <v>148</v>
      </c>
      <c r="G16" s="3">
        <v>183</v>
      </c>
      <c r="H16" s="3">
        <v>183</v>
      </c>
      <c r="I16" s="21">
        <v>118</v>
      </c>
      <c r="J16" s="21">
        <v>118</v>
      </c>
      <c r="K16" s="21">
        <v>118</v>
      </c>
      <c r="L16" s="58">
        <v>118</v>
      </c>
      <c r="M16" s="21">
        <v>118</v>
      </c>
      <c r="N16" s="100">
        <v>118</v>
      </c>
      <c r="O16" s="89">
        <v>118</v>
      </c>
      <c r="P16" s="89">
        <v>118</v>
      </c>
      <c r="Q16" s="67">
        <v>118</v>
      </c>
      <c r="R16" s="67">
        <v>118</v>
      </c>
      <c r="S16" s="67">
        <v>118</v>
      </c>
      <c r="T16" s="67">
        <v>118</v>
      </c>
      <c r="U16" s="67">
        <v>119</v>
      </c>
      <c r="V16" s="67">
        <v>119</v>
      </c>
      <c r="W16" s="67">
        <v>119</v>
      </c>
      <c r="X16" s="159">
        <v>119</v>
      </c>
      <c r="Y16" s="173">
        <v>119</v>
      </c>
      <c r="Z16" s="173">
        <f>'5.1.8'!F10</f>
        <v>118.93</v>
      </c>
      <c r="AA16" s="173">
        <v>119</v>
      </c>
      <c r="AB16" s="173">
        <v>119</v>
      </c>
      <c r="AC16" s="173">
        <v>119</v>
      </c>
    </row>
    <row r="17" spans="2:29" s="67" customFormat="1" ht="12" customHeight="1">
      <c r="B17" s="268" t="s">
        <v>257</v>
      </c>
      <c r="C17" s="269">
        <v>69</v>
      </c>
      <c r="D17" s="269">
        <v>80</v>
      </c>
      <c r="E17" s="269">
        <v>107</v>
      </c>
      <c r="F17" s="270">
        <v>107</v>
      </c>
      <c r="G17" s="270">
        <v>72</v>
      </c>
      <c r="H17" s="270">
        <v>72</v>
      </c>
      <c r="I17" s="271">
        <v>73</v>
      </c>
      <c r="J17" s="271">
        <v>73</v>
      </c>
      <c r="K17" s="271">
        <v>91</v>
      </c>
      <c r="L17" s="273">
        <v>91</v>
      </c>
      <c r="M17" s="271">
        <v>91</v>
      </c>
      <c r="N17" s="299">
        <v>100</v>
      </c>
      <c r="O17" s="300">
        <v>100</v>
      </c>
      <c r="P17" s="300">
        <v>107</v>
      </c>
      <c r="Q17" s="301">
        <v>116</v>
      </c>
      <c r="R17" s="301">
        <v>116</v>
      </c>
      <c r="S17" s="301">
        <v>116</v>
      </c>
      <c r="T17" s="301">
        <v>116</v>
      </c>
      <c r="U17" s="301">
        <v>132</v>
      </c>
      <c r="V17" s="302">
        <v>132.2</v>
      </c>
      <c r="W17" s="301">
        <v>139</v>
      </c>
      <c r="X17" s="300">
        <v>139.2</v>
      </c>
      <c r="Y17" s="300">
        <v>139.2</v>
      </c>
      <c r="Z17" s="300">
        <v>139</v>
      </c>
      <c r="AA17" s="300">
        <v>139</v>
      </c>
      <c r="AB17" s="300">
        <v>139</v>
      </c>
      <c r="AC17" s="300">
        <v>142.5</v>
      </c>
    </row>
    <row r="18" spans="2:29" s="67" customFormat="1" ht="12" customHeight="1">
      <c r="B18" s="20" t="s">
        <v>1794</v>
      </c>
      <c r="C18" s="2">
        <v>4</v>
      </c>
      <c r="D18" s="2">
        <v>4</v>
      </c>
      <c r="E18" s="2">
        <v>2</v>
      </c>
      <c r="F18" s="3">
        <v>2</v>
      </c>
      <c r="G18" s="43">
        <v>45</v>
      </c>
      <c r="H18" s="3">
        <v>45</v>
      </c>
      <c r="I18" s="21">
        <v>45</v>
      </c>
      <c r="J18" s="21">
        <v>46</v>
      </c>
      <c r="K18" s="21">
        <v>52</v>
      </c>
      <c r="L18" s="58">
        <v>52</v>
      </c>
      <c r="M18" s="21">
        <v>52</v>
      </c>
      <c r="N18" s="100">
        <v>52</v>
      </c>
      <c r="O18" s="89">
        <v>51</v>
      </c>
      <c r="P18" s="89">
        <v>51</v>
      </c>
      <c r="Q18" s="67">
        <v>51</v>
      </c>
      <c r="R18" s="67">
        <v>51</v>
      </c>
      <c r="S18" s="67">
        <v>51</v>
      </c>
      <c r="T18" s="67">
        <v>51</v>
      </c>
      <c r="U18" s="67">
        <v>18</v>
      </c>
      <c r="V18" s="149">
        <v>16</v>
      </c>
      <c r="W18" s="67">
        <v>3</v>
      </c>
      <c r="X18" s="149">
        <v>1.1</v>
      </c>
      <c r="Y18" s="89">
        <v>1.1</v>
      </c>
      <c r="Z18" s="89">
        <f>'5.1.8'!F60</f>
        <v>1.05</v>
      </c>
      <c r="AA18" s="89">
        <v>1</v>
      </c>
      <c r="AB18" s="89">
        <v>1</v>
      </c>
      <c r="AC18" s="89">
        <v>1</v>
      </c>
    </row>
    <row r="19" spans="2:29" s="67" customFormat="1" ht="12" customHeight="1">
      <c r="B19" s="268" t="s">
        <v>258</v>
      </c>
      <c r="C19" s="271">
        <f aca="true" t="shared" si="5" ref="C19:P19">SUM(C20:C22)</f>
        <v>130</v>
      </c>
      <c r="D19" s="271">
        <f t="shared" si="5"/>
        <v>120</v>
      </c>
      <c r="E19" s="271">
        <f t="shared" si="5"/>
        <v>120</v>
      </c>
      <c r="F19" s="271">
        <f t="shared" si="5"/>
        <v>120</v>
      </c>
      <c r="G19" s="271">
        <f t="shared" si="5"/>
        <v>127</v>
      </c>
      <c r="H19" s="271">
        <f t="shared" si="5"/>
        <v>127</v>
      </c>
      <c r="I19" s="271">
        <f t="shared" si="5"/>
        <v>127</v>
      </c>
      <c r="J19" s="271">
        <f t="shared" si="5"/>
        <v>131</v>
      </c>
      <c r="K19" s="271">
        <f t="shared" si="5"/>
        <v>126</v>
      </c>
      <c r="L19" s="271">
        <f t="shared" si="5"/>
        <v>132</v>
      </c>
      <c r="M19" s="271">
        <f t="shared" si="5"/>
        <v>132</v>
      </c>
      <c r="N19" s="271">
        <f t="shared" si="5"/>
        <v>132</v>
      </c>
      <c r="O19" s="271">
        <f t="shared" si="5"/>
        <v>126</v>
      </c>
      <c r="P19" s="271">
        <f t="shared" si="5"/>
        <v>118</v>
      </c>
      <c r="Q19" s="301">
        <v>118</v>
      </c>
      <c r="R19" s="301">
        <v>122</v>
      </c>
      <c r="S19" s="301">
        <v>117</v>
      </c>
      <c r="T19" s="301">
        <v>106</v>
      </c>
      <c r="U19" s="301">
        <v>82</v>
      </c>
      <c r="V19" s="301">
        <v>84</v>
      </c>
      <c r="W19" s="301">
        <v>50</v>
      </c>
      <c r="X19" s="302">
        <v>50</v>
      </c>
      <c r="Y19" s="300">
        <v>50</v>
      </c>
      <c r="Z19" s="300">
        <v>49</v>
      </c>
      <c r="AA19" s="300">
        <v>49</v>
      </c>
      <c r="AB19" s="300">
        <v>49</v>
      </c>
      <c r="AC19" s="300">
        <v>47</v>
      </c>
    </row>
    <row r="20" spans="2:29" s="67" customFormat="1" ht="12" customHeight="1" hidden="1">
      <c r="B20" s="75" t="s">
        <v>259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79">
        <v>0</v>
      </c>
      <c r="N20" s="101">
        <v>0</v>
      </c>
      <c r="O20" s="95">
        <v>0</v>
      </c>
      <c r="P20" s="95">
        <v>0</v>
      </c>
      <c r="Y20" s="89"/>
      <c r="Z20" s="89"/>
      <c r="AA20" s="89"/>
      <c r="AB20" s="89"/>
      <c r="AC20" s="89"/>
    </row>
    <row r="21" spans="2:29" s="67" customFormat="1" ht="12" customHeight="1" hidden="1">
      <c r="B21" s="75" t="s">
        <v>260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79">
        <v>0</v>
      </c>
      <c r="N21" s="101">
        <v>0</v>
      </c>
      <c r="O21" s="95">
        <v>0</v>
      </c>
      <c r="P21" s="95">
        <v>0</v>
      </c>
      <c r="Y21" s="89"/>
      <c r="Z21" s="89"/>
      <c r="AA21" s="89"/>
      <c r="AB21" s="89"/>
      <c r="AC21" s="89"/>
    </row>
    <row r="22" spans="2:29" s="67" customFormat="1" ht="12" customHeight="1" hidden="1">
      <c r="B22" s="75" t="s">
        <v>261</v>
      </c>
      <c r="C22" s="76">
        <v>130</v>
      </c>
      <c r="D22" s="76">
        <v>120</v>
      </c>
      <c r="E22" s="76">
        <v>120</v>
      </c>
      <c r="F22" s="78">
        <v>120</v>
      </c>
      <c r="G22" s="81">
        <v>127</v>
      </c>
      <c r="H22" s="78">
        <v>127</v>
      </c>
      <c r="I22" s="79">
        <v>127</v>
      </c>
      <c r="J22" s="79">
        <v>131</v>
      </c>
      <c r="K22" s="79">
        <v>126</v>
      </c>
      <c r="L22" s="64">
        <v>132</v>
      </c>
      <c r="M22" s="79">
        <v>132</v>
      </c>
      <c r="N22" s="101">
        <v>132</v>
      </c>
      <c r="O22" s="95">
        <v>126</v>
      </c>
      <c r="P22" s="95">
        <v>118</v>
      </c>
      <c r="Y22" s="89"/>
      <c r="Z22" s="89"/>
      <c r="AA22" s="89"/>
      <c r="AB22" s="89"/>
      <c r="AC22" s="89"/>
    </row>
    <row r="23" spans="2:29" s="67" customFormat="1" ht="12" customHeight="1">
      <c r="B23" s="15"/>
      <c r="C23" s="2"/>
      <c r="D23" s="2"/>
      <c r="E23" s="2"/>
      <c r="F23" s="3"/>
      <c r="G23" s="3"/>
      <c r="H23" s="3"/>
      <c r="I23" s="21"/>
      <c r="J23" s="21"/>
      <c r="K23" s="21"/>
      <c r="L23" s="58"/>
      <c r="M23" s="21"/>
      <c r="N23" s="100"/>
      <c r="O23" s="89"/>
      <c r="P23" s="89"/>
      <c r="Y23" s="89"/>
      <c r="Z23" s="89"/>
      <c r="AA23" s="89"/>
      <c r="AB23" s="89"/>
      <c r="AC23" s="89"/>
    </row>
    <row r="24" spans="2:29" s="117" customFormat="1" ht="12" customHeight="1">
      <c r="B24" s="297" t="s">
        <v>270</v>
      </c>
      <c r="C24" s="298">
        <f aca="true" t="shared" si="6" ref="C24:R24">SUM(C25:C28)</f>
        <v>1976</v>
      </c>
      <c r="D24" s="298">
        <f t="shared" si="6"/>
        <v>1976</v>
      </c>
      <c r="E24" s="298">
        <f t="shared" si="6"/>
        <v>1974</v>
      </c>
      <c r="F24" s="298">
        <f t="shared" si="6"/>
        <v>1974</v>
      </c>
      <c r="G24" s="298">
        <f t="shared" si="6"/>
        <v>1899</v>
      </c>
      <c r="H24" s="298">
        <f t="shared" si="6"/>
        <v>1897</v>
      </c>
      <c r="I24" s="298">
        <f t="shared" si="6"/>
        <v>1900</v>
      </c>
      <c r="J24" s="298">
        <f t="shared" si="6"/>
        <v>1912.5</v>
      </c>
      <c r="K24" s="298">
        <f t="shared" si="6"/>
        <v>1912.5</v>
      </c>
      <c r="L24" s="298">
        <f t="shared" si="6"/>
        <v>1912.5</v>
      </c>
      <c r="M24" s="298">
        <f t="shared" si="6"/>
        <v>1913.5</v>
      </c>
      <c r="N24" s="298">
        <f t="shared" si="6"/>
        <v>1897.7</v>
      </c>
      <c r="O24" s="298">
        <f t="shared" si="6"/>
        <v>1895</v>
      </c>
      <c r="P24" s="298">
        <f t="shared" si="6"/>
        <v>1882.8</v>
      </c>
      <c r="Q24" s="298">
        <f t="shared" si="6"/>
        <v>1872</v>
      </c>
      <c r="R24" s="298">
        <f t="shared" si="6"/>
        <v>1869.56</v>
      </c>
      <c r="S24" s="298">
        <f aca="true" t="shared" si="7" ref="S24:X24">SUM(S25:S28)</f>
        <v>1737.008</v>
      </c>
      <c r="T24" s="298">
        <f t="shared" si="7"/>
        <v>1731</v>
      </c>
      <c r="U24" s="298">
        <f t="shared" si="7"/>
        <v>1726</v>
      </c>
      <c r="V24" s="298">
        <f t="shared" si="7"/>
        <v>1715</v>
      </c>
      <c r="W24" s="298">
        <f t="shared" si="7"/>
        <v>1719</v>
      </c>
      <c r="X24" s="298">
        <f t="shared" si="7"/>
        <v>1590</v>
      </c>
      <c r="Y24" s="298">
        <f>SUM(Y25:Y28)</f>
        <v>1592</v>
      </c>
      <c r="Z24" s="298">
        <f>SUM(Z25:Z28)</f>
        <v>1601.215</v>
      </c>
      <c r="AA24" s="298">
        <f>SUM(AA25:AA28)</f>
        <v>1585.6</v>
      </c>
      <c r="AB24" s="298">
        <f>SUM(AB25:AB28)</f>
        <v>1585.6</v>
      </c>
      <c r="AC24" s="298">
        <f>SUM(AC25:AC28)</f>
        <v>1575</v>
      </c>
    </row>
    <row r="25" spans="2:29" s="117" customFormat="1" ht="12" customHeight="1">
      <c r="B25" s="20" t="s">
        <v>256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1">
        <v>0</v>
      </c>
      <c r="N25" s="100">
        <v>0</v>
      </c>
      <c r="O25" s="89">
        <v>0</v>
      </c>
      <c r="P25" s="89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</row>
    <row r="26" spans="2:29" s="117" customFormat="1" ht="12" customHeight="1">
      <c r="B26" s="268" t="s">
        <v>257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271">
        <v>0</v>
      </c>
      <c r="N26" s="299">
        <v>0</v>
      </c>
      <c r="O26" s="300">
        <v>0</v>
      </c>
      <c r="P26" s="300">
        <v>0</v>
      </c>
      <c r="Q26" s="301">
        <v>0</v>
      </c>
      <c r="R26" s="301">
        <v>0</v>
      </c>
      <c r="S26" s="301">
        <v>0</v>
      </c>
      <c r="T26" s="301">
        <v>0</v>
      </c>
      <c r="U26" s="301">
        <v>0</v>
      </c>
      <c r="V26" s="301">
        <v>0</v>
      </c>
      <c r="W26" s="301">
        <v>0</v>
      </c>
      <c r="X26" s="301">
        <v>0</v>
      </c>
      <c r="Y26" s="300">
        <v>0</v>
      </c>
      <c r="Z26" s="300">
        <v>0</v>
      </c>
      <c r="AA26" s="300">
        <v>0</v>
      </c>
      <c r="AB26" s="300">
        <v>0</v>
      </c>
      <c r="AC26" s="300">
        <v>0</v>
      </c>
    </row>
    <row r="27" spans="2:29" s="117" customFormat="1" ht="12" customHeight="1">
      <c r="B27" s="20" t="s">
        <v>1794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1">
        <v>0</v>
      </c>
      <c r="N27" s="100">
        <v>0</v>
      </c>
      <c r="O27" s="89">
        <v>0</v>
      </c>
      <c r="P27" s="89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</row>
    <row r="28" spans="2:29" s="117" customFormat="1" ht="12" customHeight="1">
      <c r="B28" s="268" t="s">
        <v>258</v>
      </c>
      <c r="C28" s="271">
        <f aca="true" t="shared" si="8" ref="C28:I28">SUM(C29:C31)</f>
        <v>1976</v>
      </c>
      <c r="D28" s="271">
        <f t="shared" si="8"/>
        <v>1976</v>
      </c>
      <c r="E28" s="271">
        <f t="shared" si="8"/>
        <v>1974</v>
      </c>
      <c r="F28" s="271">
        <f t="shared" si="8"/>
        <v>1974</v>
      </c>
      <c r="G28" s="271">
        <f t="shared" si="8"/>
        <v>1899</v>
      </c>
      <c r="H28" s="271">
        <f t="shared" si="8"/>
        <v>1897</v>
      </c>
      <c r="I28" s="271">
        <f t="shared" si="8"/>
        <v>1900</v>
      </c>
      <c r="J28" s="271">
        <v>1912.5</v>
      </c>
      <c r="K28" s="271">
        <v>1912.5</v>
      </c>
      <c r="L28" s="271">
        <v>1912.5</v>
      </c>
      <c r="M28" s="271">
        <v>1913.5</v>
      </c>
      <c r="N28" s="271">
        <v>1897.7</v>
      </c>
      <c r="O28" s="271">
        <v>1895</v>
      </c>
      <c r="P28" s="271">
        <v>1882.8</v>
      </c>
      <c r="Q28" s="301">
        <v>1872</v>
      </c>
      <c r="R28" s="300">
        <v>1869.56</v>
      </c>
      <c r="S28" s="300">
        <v>1737.008</v>
      </c>
      <c r="T28" s="300">
        <v>1731</v>
      </c>
      <c r="U28" s="300">
        <v>1726</v>
      </c>
      <c r="V28" s="300">
        <v>1715</v>
      </c>
      <c r="W28" s="300">
        <v>1719</v>
      </c>
      <c r="X28" s="300">
        <v>1590</v>
      </c>
      <c r="Y28" s="300">
        <v>1592</v>
      </c>
      <c r="Z28" s="300">
        <v>1601.215</v>
      </c>
      <c r="AA28" s="300">
        <v>1585.6</v>
      </c>
      <c r="AB28" s="300">
        <v>1585.6</v>
      </c>
      <c r="AC28" s="300">
        <v>1575</v>
      </c>
    </row>
    <row r="29" spans="2:29" s="67" customFormat="1" ht="12" customHeight="1" hidden="1">
      <c r="B29" s="75" t="s">
        <v>259</v>
      </c>
      <c r="C29" s="76">
        <v>196</v>
      </c>
      <c r="D29" s="76">
        <v>196</v>
      </c>
      <c r="E29" s="76">
        <v>196</v>
      </c>
      <c r="F29" s="78">
        <v>196</v>
      </c>
      <c r="G29" s="78">
        <v>194</v>
      </c>
      <c r="H29" s="78">
        <v>221</v>
      </c>
      <c r="I29" s="79">
        <v>212</v>
      </c>
      <c r="J29" s="79">
        <v>210</v>
      </c>
      <c r="K29" s="79">
        <v>210</v>
      </c>
      <c r="L29" s="64">
        <v>210</v>
      </c>
      <c r="M29" s="79">
        <v>210</v>
      </c>
      <c r="N29" s="101">
        <v>210</v>
      </c>
      <c r="O29" s="95">
        <v>286</v>
      </c>
      <c r="P29" s="107"/>
      <c r="Y29" s="89"/>
      <c r="Z29" s="89"/>
      <c r="AA29" s="89"/>
      <c r="AB29" s="89"/>
      <c r="AC29" s="89"/>
    </row>
    <row r="30" spans="2:29" s="67" customFormat="1" ht="12" customHeight="1" hidden="1">
      <c r="B30" s="75" t="s">
        <v>260</v>
      </c>
      <c r="C30" s="76">
        <v>1482</v>
      </c>
      <c r="D30" s="76">
        <v>1482</v>
      </c>
      <c r="E30" s="76">
        <v>1480</v>
      </c>
      <c r="F30" s="78">
        <v>1474</v>
      </c>
      <c r="G30" s="78">
        <v>1417</v>
      </c>
      <c r="H30" s="78">
        <v>1377</v>
      </c>
      <c r="I30" s="79">
        <v>1295</v>
      </c>
      <c r="J30" s="79">
        <v>1320</v>
      </c>
      <c r="K30" s="79">
        <v>1321</v>
      </c>
      <c r="L30" s="79">
        <v>1321.1</v>
      </c>
      <c r="M30" s="79">
        <v>1321</v>
      </c>
      <c r="N30" s="101">
        <v>1307</v>
      </c>
      <c r="O30" s="95">
        <v>1148</v>
      </c>
      <c r="P30" s="107"/>
      <c r="Y30" s="89"/>
      <c r="Z30" s="89"/>
      <c r="AA30" s="89"/>
      <c r="AB30" s="89"/>
      <c r="AC30" s="89"/>
    </row>
    <row r="31" spans="2:29" s="67" customFormat="1" ht="12" customHeight="1" hidden="1">
      <c r="B31" s="75" t="s">
        <v>261</v>
      </c>
      <c r="C31" s="76">
        <v>298</v>
      </c>
      <c r="D31" s="76">
        <v>298</v>
      </c>
      <c r="E31" s="76">
        <v>298</v>
      </c>
      <c r="F31" s="78">
        <v>304</v>
      </c>
      <c r="G31" s="78">
        <v>288</v>
      </c>
      <c r="H31" s="78">
        <v>299</v>
      </c>
      <c r="I31" s="79">
        <v>393</v>
      </c>
      <c r="J31" s="82">
        <v>381</v>
      </c>
      <c r="K31" s="82">
        <v>381</v>
      </c>
      <c r="L31" s="64">
        <v>381</v>
      </c>
      <c r="M31" s="79">
        <v>381</v>
      </c>
      <c r="N31" s="101">
        <v>381</v>
      </c>
      <c r="O31" s="95">
        <v>403</v>
      </c>
      <c r="P31" s="107"/>
      <c r="Y31" s="89"/>
      <c r="Z31" s="89"/>
      <c r="AA31" s="89"/>
      <c r="AB31" s="89"/>
      <c r="AC31" s="89"/>
    </row>
    <row r="32" spans="2:29" s="67" customFormat="1" ht="12" customHeight="1">
      <c r="B32" s="15"/>
      <c r="C32" s="2"/>
      <c r="D32" s="2"/>
      <c r="E32" s="2"/>
      <c r="F32" s="3"/>
      <c r="G32" s="3"/>
      <c r="H32" s="3"/>
      <c r="I32" s="21"/>
      <c r="J32" s="21"/>
      <c r="K32" s="21"/>
      <c r="L32" s="58"/>
      <c r="M32" s="21"/>
      <c r="N32" s="100"/>
      <c r="O32" s="89"/>
      <c r="P32" s="89"/>
      <c r="Y32" s="89"/>
      <c r="Z32" s="89"/>
      <c r="AA32" s="89"/>
      <c r="AB32" s="89"/>
      <c r="AC32" s="89"/>
    </row>
    <row r="33" spans="2:29" s="67" customFormat="1" ht="12" customHeight="1">
      <c r="B33" s="293" t="s">
        <v>271</v>
      </c>
      <c r="C33" s="294">
        <f aca="true" t="shared" si="9" ref="C33:P33">SUM(C34:C37)</f>
        <v>3553</v>
      </c>
      <c r="D33" s="294">
        <f t="shared" si="9"/>
        <v>3722.2</v>
      </c>
      <c r="E33" s="294">
        <f t="shared" si="9"/>
        <v>3771.2</v>
      </c>
      <c r="F33" s="294">
        <f t="shared" si="9"/>
        <v>3830.2</v>
      </c>
      <c r="G33" s="294">
        <f t="shared" si="9"/>
        <v>3828.905</v>
      </c>
      <c r="H33" s="294">
        <f t="shared" si="9"/>
        <v>3916.5229999999997</v>
      </c>
      <c r="I33" s="294">
        <f t="shared" si="9"/>
        <v>3863.2</v>
      </c>
      <c r="J33" s="294">
        <f t="shared" si="9"/>
        <v>3955.038</v>
      </c>
      <c r="K33" s="294">
        <f t="shared" si="9"/>
        <v>3991.2</v>
      </c>
      <c r="L33" s="294">
        <f t="shared" si="9"/>
        <v>4022.2200000000003</v>
      </c>
      <c r="M33" s="294">
        <f t="shared" si="9"/>
        <v>4030.571</v>
      </c>
      <c r="N33" s="294">
        <f t="shared" si="9"/>
        <v>4096.2080000000005</v>
      </c>
      <c r="O33" s="294">
        <f t="shared" si="9"/>
        <v>4013.353</v>
      </c>
      <c r="P33" s="294">
        <f t="shared" si="9"/>
        <v>4003.7259999999997</v>
      </c>
      <c r="Q33" s="294">
        <f aca="true" t="shared" si="10" ref="Q33:W33">SUM(Q34:Q37)</f>
        <v>4004.656</v>
      </c>
      <c r="R33" s="294">
        <f t="shared" si="10"/>
        <v>3996.209</v>
      </c>
      <c r="S33" s="294">
        <f t="shared" si="10"/>
        <v>4052.324</v>
      </c>
      <c r="T33" s="294">
        <f t="shared" si="10"/>
        <v>3995.486</v>
      </c>
      <c r="U33" s="294">
        <f t="shared" si="10"/>
        <v>3955.675</v>
      </c>
      <c r="V33" s="294">
        <f t="shared" si="10"/>
        <v>4075.2560000000003</v>
      </c>
      <c r="W33" s="294">
        <f t="shared" si="10"/>
        <v>4002</v>
      </c>
      <c r="X33" s="294">
        <f aca="true" t="shared" si="11" ref="X33:AC33">SUM(X34:X37)</f>
        <v>3991.947</v>
      </c>
      <c r="Y33" s="294">
        <f t="shared" si="11"/>
        <v>3996.047</v>
      </c>
      <c r="Z33" s="294">
        <f t="shared" si="11"/>
        <v>3988.195</v>
      </c>
      <c r="AA33" s="294">
        <f t="shared" si="11"/>
        <v>3981.294</v>
      </c>
      <c r="AB33" s="294">
        <f t="shared" si="11"/>
        <v>3974.2999999999997</v>
      </c>
      <c r="AC33" s="294">
        <f t="shared" si="11"/>
        <v>3965.2</v>
      </c>
    </row>
    <row r="34" spans="2:29" s="67" customFormat="1" ht="12" customHeight="1">
      <c r="B34" s="20" t="s">
        <v>256</v>
      </c>
      <c r="C34" s="21">
        <f aca="true" t="shared" si="12" ref="C34:L34">C16+C7</f>
        <v>211</v>
      </c>
      <c r="D34" s="21">
        <f t="shared" si="12"/>
        <v>232</v>
      </c>
      <c r="E34" s="21">
        <f t="shared" si="12"/>
        <v>241</v>
      </c>
      <c r="F34" s="21">
        <f t="shared" si="12"/>
        <v>222</v>
      </c>
      <c r="G34" s="21">
        <f t="shared" si="12"/>
        <v>267.74</v>
      </c>
      <c r="H34" s="21">
        <f t="shared" si="12"/>
        <v>329.748</v>
      </c>
      <c r="I34" s="21">
        <f t="shared" si="12"/>
        <v>266</v>
      </c>
      <c r="J34" s="21">
        <f t="shared" si="12"/>
        <v>269.127</v>
      </c>
      <c r="K34" s="21">
        <f t="shared" si="12"/>
        <v>287.9</v>
      </c>
      <c r="L34" s="21">
        <f t="shared" si="12"/>
        <v>305.89</v>
      </c>
      <c r="M34" s="21">
        <f aca="true" t="shared" si="13" ref="M34:P36">M16+M7+M25</f>
        <v>272</v>
      </c>
      <c r="N34" s="21">
        <f t="shared" si="13"/>
        <v>272</v>
      </c>
      <c r="O34" s="21">
        <f t="shared" si="13"/>
        <v>272</v>
      </c>
      <c r="P34" s="21">
        <f t="shared" si="13"/>
        <v>272</v>
      </c>
      <c r="Q34" s="21">
        <f aca="true" t="shared" si="14" ref="Q34:R36">Q16+Q7+Q25</f>
        <v>272</v>
      </c>
      <c r="R34" s="21">
        <f t="shared" si="14"/>
        <v>272</v>
      </c>
      <c r="S34" s="21">
        <f aca="true" t="shared" si="15" ref="S34:T36">S16+S7+S25</f>
        <v>272</v>
      </c>
      <c r="T34" s="21">
        <f t="shared" si="15"/>
        <v>272</v>
      </c>
      <c r="U34" s="21">
        <f aca="true" t="shared" si="16" ref="U34:V36">U16+U7+U25</f>
        <v>273</v>
      </c>
      <c r="V34" s="21">
        <f t="shared" si="16"/>
        <v>273</v>
      </c>
      <c r="W34" s="21">
        <f aca="true" t="shared" si="17" ref="W34:X36">W16+W7+W25</f>
        <v>277</v>
      </c>
      <c r="X34" s="21">
        <f t="shared" si="17"/>
        <v>276.669</v>
      </c>
      <c r="Y34" s="21">
        <f aca="true" t="shared" si="18" ref="Y34:AB36">Y16+Y7+Y25</f>
        <v>276.669</v>
      </c>
      <c r="Z34" s="21">
        <f t="shared" si="18"/>
        <v>276.93</v>
      </c>
      <c r="AA34" s="21">
        <f t="shared" si="18"/>
        <v>277</v>
      </c>
      <c r="AB34" s="21">
        <f t="shared" si="18"/>
        <v>278.4</v>
      </c>
      <c r="AC34" s="21">
        <f>AC7+AC16+AC25</f>
        <v>278.4</v>
      </c>
    </row>
    <row r="35" spans="2:29" s="67" customFormat="1" ht="12" customHeight="1">
      <c r="B35" s="268" t="s">
        <v>257</v>
      </c>
      <c r="C35" s="271">
        <f aca="true" t="shared" si="19" ref="C35:L35">C17+C8</f>
        <v>120</v>
      </c>
      <c r="D35" s="271">
        <f t="shared" si="19"/>
        <v>197</v>
      </c>
      <c r="E35" s="271">
        <f t="shared" si="19"/>
        <v>160</v>
      </c>
      <c r="F35" s="271">
        <f t="shared" si="19"/>
        <v>195</v>
      </c>
      <c r="G35" s="271">
        <f t="shared" si="19"/>
        <v>122.497</v>
      </c>
      <c r="H35" s="271">
        <f t="shared" si="19"/>
        <v>134.365</v>
      </c>
      <c r="I35" s="271">
        <f t="shared" si="19"/>
        <v>211</v>
      </c>
      <c r="J35" s="271">
        <f t="shared" si="19"/>
        <v>210.168</v>
      </c>
      <c r="K35" s="271">
        <f t="shared" si="19"/>
        <v>228.8</v>
      </c>
      <c r="L35" s="271">
        <f t="shared" si="19"/>
        <v>147.5</v>
      </c>
      <c r="M35" s="271">
        <f t="shared" si="13"/>
        <v>203</v>
      </c>
      <c r="N35" s="271">
        <f t="shared" si="13"/>
        <v>212</v>
      </c>
      <c r="O35" s="271">
        <f t="shared" si="13"/>
        <v>212</v>
      </c>
      <c r="P35" s="271">
        <f t="shared" si="13"/>
        <v>219</v>
      </c>
      <c r="Q35" s="271">
        <f t="shared" si="14"/>
        <v>245</v>
      </c>
      <c r="R35" s="271">
        <f t="shared" si="14"/>
        <v>272</v>
      </c>
      <c r="S35" s="271">
        <f t="shared" si="15"/>
        <v>281</v>
      </c>
      <c r="T35" s="271">
        <f t="shared" si="15"/>
        <v>283</v>
      </c>
      <c r="U35" s="271">
        <f t="shared" si="16"/>
        <v>311</v>
      </c>
      <c r="V35" s="271">
        <f t="shared" si="16"/>
        <v>311.2</v>
      </c>
      <c r="W35" s="271">
        <f t="shared" si="17"/>
        <v>318</v>
      </c>
      <c r="X35" s="271">
        <f t="shared" si="17"/>
        <v>337.178</v>
      </c>
      <c r="Y35" s="271">
        <f t="shared" si="18"/>
        <v>337.178</v>
      </c>
      <c r="Z35" s="271">
        <f t="shared" si="18"/>
        <v>433</v>
      </c>
      <c r="AA35" s="271">
        <f t="shared" si="18"/>
        <v>429.72</v>
      </c>
      <c r="AB35" s="271">
        <f t="shared" si="18"/>
        <v>426.9</v>
      </c>
      <c r="AC35" s="271">
        <f>AC8+AC17+AC26</f>
        <v>430.4</v>
      </c>
    </row>
    <row r="36" spans="2:29" s="67" customFormat="1" ht="12" customHeight="1">
      <c r="B36" s="20" t="s">
        <v>1794</v>
      </c>
      <c r="C36" s="21">
        <f aca="true" t="shared" si="20" ref="C36:L36">C18+C9</f>
        <v>298</v>
      </c>
      <c r="D36" s="21">
        <f t="shared" si="20"/>
        <v>45</v>
      </c>
      <c r="E36" s="21">
        <f t="shared" si="20"/>
        <v>107</v>
      </c>
      <c r="F36" s="21">
        <f t="shared" si="20"/>
        <v>93</v>
      </c>
      <c r="G36" s="21">
        <f t="shared" si="20"/>
        <v>133.525</v>
      </c>
      <c r="H36" s="21">
        <f t="shared" si="20"/>
        <v>141.20999999999998</v>
      </c>
      <c r="I36" s="21">
        <f t="shared" si="20"/>
        <v>64</v>
      </c>
      <c r="J36" s="21">
        <f t="shared" si="20"/>
        <v>74.926</v>
      </c>
      <c r="K36" s="21">
        <f t="shared" si="20"/>
        <v>86.8</v>
      </c>
      <c r="L36" s="21">
        <f t="shared" si="20"/>
        <v>151.79000000000002</v>
      </c>
      <c r="M36" s="21">
        <f t="shared" si="13"/>
        <v>79</v>
      </c>
      <c r="N36" s="21">
        <f t="shared" si="13"/>
        <v>90</v>
      </c>
      <c r="O36" s="21">
        <f t="shared" si="13"/>
        <v>89</v>
      </c>
      <c r="P36" s="21">
        <f t="shared" si="13"/>
        <v>89</v>
      </c>
      <c r="Q36" s="21">
        <f t="shared" si="14"/>
        <v>89</v>
      </c>
      <c r="R36" s="21">
        <f t="shared" si="14"/>
        <v>89</v>
      </c>
      <c r="S36" s="21">
        <f t="shared" si="15"/>
        <v>89</v>
      </c>
      <c r="T36" s="21">
        <f t="shared" si="15"/>
        <v>89</v>
      </c>
      <c r="U36" s="21">
        <f t="shared" si="16"/>
        <v>57</v>
      </c>
      <c r="V36" s="21">
        <f t="shared" si="16"/>
        <v>61</v>
      </c>
      <c r="W36" s="21">
        <f t="shared" si="17"/>
        <v>53</v>
      </c>
      <c r="X36" s="21">
        <f t="shared" si="17"/>
        <v>51.1</v>
      </c>
      <c r="Y36" s="21">
        <f t="shared" si="18"/>
        <v>53.2</v>
      </c>
      <c r="Z36" s="21">
        <f t="shared" si="18"/>
        <v>50.05</v>
      </c>
      <c r="AA36" s="21">
        <f t="shared" si="18"/>
        <v>49.386</v>
      </c>
      <c r="AB36" s="21">
        <f t="shared" si="18"/>
        <v>54.1</v>
      </c>
      <c r="AC36" s="21">
        <f>AC9+AC18+AC27</f>
        <v>55.2</v>
      </c>
    </row>
    <row r="37" spans="2:29" s="67" customFormat="1" ht="12" customHeight="1">
      <c r="B37" s="268" t="s">
        <v>258</v>
      </c>
      <c r="C37" s="271">
        <f aca="true" t="shared" si="21" ref="C37:I37">SUM(C38:C40)</f>
        <v>2924</v>
      </c>
      <c r="D37" s="271">
        <f t="shared" si="21"/>
        <v>3248.2</v>
      </c>
      <c r="E37" s="271">
        <f t="shared" si="21"/>
        <v>3263.2</v>
      </c>
      <c r="F37" s="271">
        <f t="shared" si="21"/>
        <v>3320.2</v>
      </c>
      <c r="G37" s="271">
        <f t="shared" si="21"/>
        <v>3305.143</v>
      </c>
      <c r="H37" s="271">
        <f t="shared" si="21"/>
        <v>3311.2</v>
      </c>
      <c r="I37" s="271">
        <f t="shared" si="21"/>
        <v>3322.2</v>
      </c>
      <c r="J37" s="271">
        <f aca="true" t="shared" si="22" ref="J37:P37">SUM(J10,J19,J28)</f>
        <v>3400.817</v>
      </c>
      <c r="K37" s="271">
        <f t="shared" si="22"/>
        <v>3387.7</v>
      </c>
      <c r="L37" s="271">
        <f t="shared" si="22"/>
        <v>3417.04</v>
      </c>
      <c r="M37" s="271">
        <f t="shared" si="22"/>
        <v>3476.571</v>
      </c>
      <c r="N37" s="271">
        <f t="shared" si="22"/>
        <v>3522.208</v>
      </c>
      <c r="O37" s="271">
        <f t="shared" si="22"/>
        <v>3440.353</v>
      </c>
      <c r="P37" s="271">
        <f t="shared" si="22"/>
        <v>3423.7259999999997</v>
      </c>
      <c r="Q37" s="271">
        <f aca="true" t="shared" si="23" ref="Q37:V37">SUM(Q10,Q19,Q28)</f>
        <v>3398.656</v>
      </c>
      <c r="R37" s="271">
        <f t="shared" si="23"/>
        <v>3363.209</v>
      </c>
      <c r="S37" s="271">
        <f t="shared" si="23"/>
        <v>3410.324</v>
      </c>
      <c r="T37" s="271">
        <f t="shared" si="23"/>
        <v>3351.486</v>
      </c>
      <c r="U37" s="271">
        <f t="shared" si="23"/>
        <v>3314.675</v>
      </c>
      <c r="V37" s="271">
        <f t="shared" si="23"/>
        <v>3430.056</v>
      </c>
      <c r="W37" s="271">
        <f aca="true" t="shared" si="24" ref="W37:AB37">SUM(W10,W19,W28)</f>
        <v>3354</v>
      </c>
      <c r="X37" s="271">
        <f t="shared" si="24"/>
        <v>3327</v>
      </c>
      <c r="Y37" s="271">
        <f t="shared" si="24"/>
        <v>3329</v>
      </c>
      <c r="Z37" s="271">
        <f t="shared" si="24"/>
        <v>3228.215</v>
      </c>
      <c r="AA37" s="271">
        <f t="shared" si="24"/>
        <v>3225.188</v>
      </c>
      <c r="AB37" s="271">
        <f t="shared" si="24"/>
        <v>3214.8999999999996</v>
      </c>
      <c r="AC37" s="271">
        <f>AC10+AC19+AC28</f>
        <v>3201.2</v>
      </c>
    </row>
    <row r="38" spans="2:16" s="67" customFormat="1" ht="12" customHeight="1" hidden="1">
      <c r="B38" s="75" t="s">
        <v>259</v>
      </c>
      <c r="C38" s="78">
        <f aca="true" t="shared" si="25" ref="C38:L38">C11+C20+C29</f>
        <v>207</v>
      </c>
      <c r="D38" s="78">
        <f t="shared" si="25"/>
        <v>196.2</v>
      </c>
      <c r="E38" s="78">
        <f t="shared" si="25"/>
        <v>196.2</v>
      </c>
      <c r="F38" s="78">
        <f t="shared" si="25"/>
        <v>196.2</v>
      </c>
      <c r="G38" s="78">
        <f t="shared" si="25"/>
        <v>194.2</v>
      </c>
      <c r="H38" s="78">
        <f t="shared" si="25"/>
        <v>221.2</v>
      </c>
      <c r="I38" s="78">
        <f t="shared" si="25"/>
        <v>212.2</v>
      </c>
      <c r="J38" s="78">
        <f t="shared" si="25"/>
        <v>210.2</v>
      </c>
      <c r="K38" s="78">
        <f t="shared" si="25"/>
        <v>210.2</v>
      </c>
      <c r="L38" s="78">
        <f t="shared" si="25"/>
        <v>298.2</v>
      </c>
      <c r="M38" s="79">
        <f aca="true" t="shared" si="26" ref="M38:O40">M20+M11+M29</f>
        <v>298.244</v>
      </c>
      <c r="N38" s="79">
        <f t="shared" si="26"/>
        <v>299.004</v>
      </c>
      <c r="O38" s="79">
        <f t="shared" si="26"/>
        <v>375.44100000000003</v>
      </c>
      <c r="P38" s="79">
        <f>P20+P11</f>
        <v>88.065</v>
      </c>
    </row>
    <row r="39" spans="2:16" s="67" customFormat="1" ht="12" customHeight="1" hidden="1">
      <c r="B39" s="75" t="s">
        <v>260</v>
      </c>
      <c r="C39" s="78">
        <f aca="true" t="shared" si="27" ref="C39:L39">C12+C21+C30</f>
        <v>2158</v>
      </c>
      <c r="D39" s="78">
        <f t="shared" si="27"/>
        <v>2025</v>
      </c>
      <c r="E39" s="78">
        <f t="shared" si="27"/>
        <v>2041</v>
      </c>
      <c r="F39" s="78">
        <f t="shared" si="27"/>
        <v>2652</v>
      </c>
      <c r="G39" s="78">
        <f t="shared" si="27"/>
        <v>1948.741</v>
      </c>
      <c r="H39" s="78">
        <f t="shared" si="27"/>
        <v>1909</v>
      </c>
      <c r="I39" s="78">
        <f t="shared" si="27"/>
        <v>1841</v>
      </c>
      <c r="J39" s="78">
        <f t="shared" si="27"/>
        <v>1865.729</v>
      </c>
      <c r="K39" s="78">
        <f t="shared" si="27"/>
        <v>1872.9</v>
      </c>
      <c r="L39" s="78">
        <f t="shared" si="27"/>
        <v>1793</v>
      </c>
      <c r="M39" s="79">
        <f t="shared" si="26"/>
        <v>1792.946</v>
      </c>
      <c r="N39" s="79">
        <f t="shared" si="26"/>
        <v>1799.589</v>
      </c>
      <c r="O39" s="79">
        <f t="shared" si="26"/>
        <v>2407.92</v>
      </c>
      <c r="P39" s="79">
        <f>P21+P12</f>
        <v>1265.978</v>
      </c>
    </row>
    <row r="40" spans="2:16" s="67" customFormat="1" ht="12" customHeight="1" hidden="1">
      <c r="B40" s="83" t="s">
        <v>261</v>
      </c>
      <c r="C40" s="78">
        <f aca="true" t="shared" si="28" ref="C40:L40">C13+C22+C31</f>
        <v>559</v>
      </c>
      <c r="D40" s="78">
        <f t="shared" si="28"/>
        <v>1027</v>
      </c>
      <c r="E40" s="78">
        <f t="shared" si="28"/>
        <v>1026</v>
      </c>
      <c r="F40" s="78">
        <f t="shared" si="28"/>
        <v>472</v>
      </c>
      <c r="G40" s="78">
        <f t="shared" si="28"/>
        <v>1162.202</v>
      </c>
      <c r="H40" s="78">
        <f t="shared" si="28"/>
        <v>1181</v>
      </c>
      <c r="I40" s="78">
        <f t="shared" si="28"/>
        <v>1269</v>
      </c>
      <c r="J40" s="78">
        <f t="shared" si="28"/>
        <v>1323.388</v>
      </c>
      <c r="K40" s="78">
        <f t="shared" si="28"/>
        <v>1304.1</v>
      </c>
      <c r="L40" s="78">
        <f t="shared" si="28"/>
        <v>1325.44</v>
      </c>
      <c r="M40" s="79">
        <f t="shared" si="26"/>
        <v>1334.367</v>
      </c>
      <c r="N40" s="79">
        <f t="shared" si="26"/>
        <v>1387.908</v>
      </c>
      <c r="O40" s="79">
        <f t="shared" si="26"/>
        <v>558.7239999999999</v>
      </c>
      <c r="P40" s="79">
        <f>P22+P13</f>
        <v>145.902</v>
      </c>
    </row>
    <row r="41" spans="2:29" s="67" customFormat="1" ht="12" customHeight="1">
      <c r="B41" s="46"/>
      <c r="C41" s="47"/>
      <c r="D41" s="47"/>
      <c r="E41" s="47"/>
      <c r="F41" s="48"/>
      <c r="G41" s="48"/>
      <c r="H41" s="48"/>
      <c r="I41" s="49"/>
      <c r="J41" s="49"/>
      <c r="K41" s="49"/>
      <c r="L41" s="66"/>
      <c r="M41" s="34"/>
      <c r="N41" s="98"/>
      <c r="O41" s="88"/>
      <c r="P41" s="88"/>
      <c r="Q41" s="88"/>
      <c r="R41" s="162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</row>
    <row r="42" spans="2:13" s="67" customFormat="1" ht="12" customHeight="1">
      <c r="B42" s="188" t="s">
        <v>1782</v>
      </c>
      <c r="C42" s="51"/>
      <c r="D42" s="51"/>
      <c r="E42" s="51"/>
      <c r="F42" s="52"/>
      <c r="G42" s="52"/>
      <c r="H42" s="52"/>
      <c r="I42" s="44"/>
      <c r="J42" s="44"/>
      <c r="K42" s="44"/>
      <c r="L42" s="63"/>
      <c r="M42" s="21"/>
    </row>
    <row r="43" spans="1:16" s="4" customFormat="1" ht="12">
      <c r="A43" s="187"/>
      <c r="B43" s="188" t="s">
        <v>302</v>
      </c>
      <c r="C43" s="188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7"/>
      <c r="P43" s="187"/>
    </row>
    <row r="44" spans="1:31" s="4" customFormat="1" ht="12">
      <c r="A44" s="187"/>
      <c r="B44" s="188" t="s">
        <v>367</v>
      </c>
      <c r="C44" s="188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7"/>
      <c r="P44" s="187"/>
      <c r="AC44" s="8"/>
      <c r="AD44" s="8"/>
      <c r="AE44" s="8"/>
    </row>
    <row r="45" spans="2:31" s="67" customFormat="1" ht="12" customHeight="1">
      <c r="B45" s="67" t="s">
        <v>120</v>
      </c>
      <c r="C45" s="2"/>
      <c r="D45" s="2"/>
      <c r="E45" s="2"/>
      <c r="F45" s="21"/>
      <c r="G45" s="21"/>
      <c r="H45" s="21"/>
      <c r="I45" s="4"/>
      <c r="J45" s="4"/>
      <c r="K45" s="4"/>
      <c r="L45" s="58"/>
      <c r="M45" s="21"/>
      <c r="AC45" s="246"/>
      <c r="AD45" s="246"/>
      <c r="AE45" s="246"/>
    </row>
    <row r="46" spans="29:31" ht="12" customHeight="1">
      <c r="AC46" s="247"/>
      <c r="AD46" s="247"/>
      <c r="AE46" s="247"/>
    </row>
    <row r="47" ht="12" customHeight="1">
      <c r="M47" s="36"/>
    </row>
    <row r="50" ht="12" customHeight="1">
      <c r="M50" s="86"/>
    </row>
    <row r="92" ht="12" customHeight="1">
      <c r="M92" s="36"/>
    </row>
    <row r="93" ht="12" customHeight="1">
      <c r="M93" s="36"/>
    </row>
    <row r="95" ht="12" customHeight="1">
      <c r="M95" s="86"/>
    </row>
    <row r="138" ht="12" customHeight="1">
      <c r="M138" s="36"/>
    </row>
    <row r="139" ht="12" customHeight="1">
      <c r="M139" s="36"/>
    </row>
    <row r="141" ht="12" customHeight="1">
      <c r="M141" s="86"/>
    </row>
    <row r="184" ht="12" customHeight="1">
      <c r="M184" s="36"/>
    </row>
    <row r="187" ht="12" customHeight="1">
      <c r="M187" s="86"/>
    </row>
    <row r="813" spans="3:4" ht="12" customHeight="1">
      <c r="C813" s="255"/>
      <c r="D813" s="255"/>
    </row>
  </sheetData>
  <sheetProtection/>
  <printOptions/>
  <pageMargins left="0.5905511811023623" right="0.3937007874015748" top="0.5511811023622047" bottom="0" header="0" footer="0"/>
  <pageSetup fitToHeight="1" fitToWidth="1" horizontalDpi="600" verticalDpi="600" orientation="landscape" paperSize="9" scale="87" r:id="rId1"/>
  <ignoredErrors>
    <ignoredError sqref="M19:Q36 R19:X27 Y11:Y15 Y20:Y27 R29:X37 R28:S28 U28:V28 Y29:Y37" formulaRange="1"/>
    <ignoredError sqref="M37:Q37 M6:Q18 R7:X8 Y6 R6:T6 U6:X6 R11:X18 R9:W9 R10:W10" formula="1" formulaRange="1"/>
    <ignoredError sqref="M6:Q18 R7:X8 Y6 R6:T6 U6:X6 R11:X18 R9:W9 R10:W10" formulaRange="1" unlockedFormula="1"/>
    <ignoredError sqref="Z6:AC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813"/>
  <sheetViews>
    <sheetView showGridLines="0" zoomScalePageLayoutView="0" workbookViewId="0" topLeftCell="A1">
      <selection activeCell="D16" sqref="D16"/>
    </sheetView>
  </sheetViews>
  <sheetFormatPr defaultColWidth="11.5546875" defaultRowHeight="12" customHeight="1"/>
  <cols>
    <col min="1" max="1" width="1.33203125" style="0" customWidth="1"/>
    <col min="2" max="2" width="20.21484375" style="0" customWidth="1"/>
    <col min="3" max="8" width="6.77734375" style="0" hidden="1" customWidth="1"/>
    <col min="9" max="9" width="5.77734375" style="0" hidden="1" customWidth="1"/>
    <col min="10" max="12" width="6.77734375" style="0" hidden="1" customWidth="1"/>
    <col min="13" max="13" width="6.77734375" style="21" customWidth="1"/>
    <col min="14" max="14" width="6.77734375" style="67" customWidth="1"/>
    <col min="15" max="16" width="6.77734375" style="0" customWidth="1"/>
    <col min="17" max="18" width="6.77734375" style="122" customWidth="1"/>
    <col min="19" max="20" width="6.77734375" style="0" customWidth="1"/>
    <col min="21" max="22" width="6.3359375" style="0" customWidth="1"/>
    <col min="23" max="29" width="6.99609375" style="0" customWidth="1"/>
  </cols>
  <sheetData>
    <row r="1" spans="2:12" ht="15" customHeight="1">
      <c r="B1" s="1" t="s">
        <v>1833</v>
      </c>
      <c r="C1" s="2"/>
      <c r="D1" s="2"/>
      <c r="E1" s="2"/>
      <c r="F1" s="21"/>
      <c r="G1" s="21"/>
      <c r="H1" s="37"/>
      <c r="I1" s="4"/>
      <c r="J1" s="4"/>
      <c r="K1" s="4"/>
      <c r="L1" s="58"/>
    </row>
    <row r="2" spans="2:13" ht="12" customHeight="1">
      <c r="B2" s="1"/>
      <c r="C2" s="6"/>
      <c r="D2" s="6"/>
      <c r="E2" s="6"/>
      <c r="F2" s="36"/>
      <c r="G2" s="36"/>
      <c r="H2" s="36"/>
      <c r="I2" s="8"/>
      <c r="J2" s="8"/>
      <c r="K2" s="8"/>
      <c r="L2" s="59"/>
      <c r="M2" s="36"/>
    </row>
    <row r="3" spans="2:29" ht="12" customHeight="1">
      <c r="B3" s="38"/>
      <c r="C3" s="19"/>
      <c r="D3" s="19"/>
      <c r="E3" s="11"/>
      <c r="F3" s="11"/>
      <c r="G3" s="11"/>
      <c r="H3" s="12"/>
      <c r="I3" s="39"/>
      <c r="J3" s="39"/>
      <c r="K3" s="10"/>
      <c r="L3" s="13"/>
      <c r="N3" s="87"/>
      <c r="O3" s="87"/>
      <c r="R3" s="123"/>
      <c r="U3" s="123"/>
      <c r="W3" s="123"/>
      <c r="X3" s="123"/>
      <c r="Y3" s="123"/>
      <c r="AA3" s="123"/>
      <c r="AB3" s="123"/>
      <c r="AC3" s="123" t="s">
        <v>252</v>
      </c>
    </row>
    <row r="4" spans="2:29" ht="18" customHeight="1">
      <c r="B4" s="258" t="s">
        <v>254</v>
      </c>
      <c r="C4" s="259">
        <v>1990</v>
      </c>
      <c r="D4" s="259">
        <v>1991</v>
      </c>
      <c r="E4" s="259">
        <v>1992</v>
      </c>
      <c r="F4" s="260">
        <v>1993</v>
      </c>
      <c r="G4" s="259">
        <v>1994</v>
      </c>
      <c r="H4" s="260">
        <v>1995</v>
      </c>
      <c r="I4" s="260">
        <v>1996</v>
      </c>
      <c r="J4" s="260">
        <v>1997</v>
      </c>
      <c r="K4" s="260">
        <v>1998</v>
      </c>
      <c r="L4" s="261">
        <v>1999</v>
      </c>
      <c r="M4" s="262">
        <v>2000</v>
      </c>
      <c r="N4" s="291">
        <v>2001</v>
      </c>
      <c r="O4" s="291">
        <v>2002</v>
      </c>
      <c r="P4" s="291">
        <v>2003</v>
      </c>
      <c r="Q4" s="292">
        <v>2004</v>
      </c>
      <c r="R4" s="291">
        <v>2005</v>
      </c>
      <c r="S4" s="291">
        <v>2006</v>
      </c>
      <c r="T4" s="291">
        <v>2007</v>
      </c>
      <c r="U4" s="291">
        <v>2008</v>
      </c>
      <c r="V4" s="291">
        <v>2009</v>
      </c>
      <c r="W4" s="291">
        <v>2010</v>
      </c>
      <c r="X4" s="291">
        <v>2011</v>
      </c>
      <c r="Y4" s="291">
        <v>2012</v>
      </c>
      <c r="Z4" s="291">
        <v>2013</v>
      </c>
      <c r="AA4" s="291">
        <v>2014</v>
      </c>
      <c r="AB4" s="291">
        <v>2015</v>
      </c>
      <c r="AC4" s="291">
        <v>2016</v>
      </c>
    </row>
    <row r="5" spans="2:20" ht="12" customHeight="1">
      <c r="B5" s="5"/>
      <c r="C5" s="6"/>
      <c r="D5" s="6"/>
      <c r="E5" s="6"/>
      <c r="F5" s="7"/>
      <c r="G5" s="6"/>
      <c r="H5" s="7"/>
      <c r="I5" s="21"/>
      <c r="J5" s="21"/>
      <c r="K5" s="21"/>
      <c r="L5" s="58"/>
      <c r="N5" s="89"/>
      <c r="S5" s="122"/>
      <c r="T5" s="122"/>
    </row>
    <row r="6" spans="2:29" ht="12" customHeight="1">
      <c r="B6" s="264" t="s">
        <v>293</v>
      </c>
      <c r="C6" s="298">
        <f aca="true" t="shared" si="0" ref="C6:R6">SUM(C7:C10)</f>
        <v>1241</v>
      </c>
      <c r="D6" s="298">
        <f t="shared" si="0"/>
        <v>1253</v>
      </c>
      <c r="E6" s="298">
        <f t="shared" si="0"/>
        <v>1268</v>
      </c>
      <c r="F6" s="298">
        <f t="shared" si="0"/>
        <v>1285</v>
      </c>
      <c r="G6" s="298">
        <f t="shared" si="0"/>
        <v>1292.159</v>
      </c>
      <c r="H6" s="298">
        <f t="shared" si="0"/>
        <v>1319.688</v>
      </c>
      <c r="I6" s="298">
        <f t="shared" si="0"/>
        <v>1313</v>
      </c>
      <c r="J6" s="298">
        <f t="shared" si="0"/>
        <v>1292.828</v>
      </c>
      <c r="K6" s="298">
        <f t="shared" si="0"/>
        <v>1292.3999999999999</v>
      </c>
      <c r="L6" s="298">
        <f t="shared" si="0"/>
        <v>1283.1599999999999</v>
      </c>
      <c r="M6" s="298">
        <f t="shared" si="0"/>
        <v>1297.643</v>
      </c>
      <c r="N6" s="298">
        <f t="shared" si="0"/>
        <v>1229.5240000000001</v>
      </c>
      <c r="O6" s="298">
        <f t="shared" si="0"/>
        <v>1294.297</v>
      </c>
      <c r="P6" s="298">
        <f t="shared" si="0"/>
        <v>1296.857</v>
      </c>
      <c r="Q6" s="267">
        <f t="shared" si="0"/>
        <v>1297.8870000000002</v>
      </c>
      <c r="R6" s="267">
        <f t="shared" si="0"/>
        <v>1293.25</v>
      </c>
      <c r="S6" s="267">
        <f aca="true" t="shared" si="1" ref="S6:X6">SUM(S7:S10)</f>
        <v>1291.45</v>
      </c>
      <c r="T6" s="267">
        <f t="shared" si="1"/>
        <v>1288.2</v>
      </c>
      <c r="U6" s="267">
        <f t="shared" si="1"/>
        <v>1289.053</v>
      </c>
      <c r="V6" s="267">
        <f t="shared" si="1"/>
        <v>1262.4660000000001</v>
      </c>
      <c r="W6" s="267">
        <f t="shared" si="1"/>
        <v>1324</v>
      </c>
      <c r="X6" s="267">
        <f t="shared" si="1"/>
        <v>1320.974</v>
      </c>
      <c r="Y6" s="267">
        <f>SUM(Y7:Y10)</f>
        <v>1321.574</v>
      </c>
      <c r="Z6" s="267">
        <f>SUM(Z7:Z10)</f>
        <v>1306</v>
      </c>
      <c r="AA6" s="267">
        <f>SUM(AA7:AA10)</f>
        <v>1305.791</v>
      </c>
      <c r="AB6" s="267">
        <f>SUM(AB7:AB10)</f>
        <v>1241.7</v>
      </c>
      <c r="AC6" s="267">
        <f>SUM(AC7:AC10)</f>
        <v>1239.1</v>
      </c>
    </row>
    <row r="7" spans="2:29" ht="12" customHeight="1">
      <c r="B7" s="20" t="s">
        <v>300</v>
      </c>
      <c r="C7" s="53">
        <v>0</v>
      </c>
      <c r="D7" s="2">
        <v>28</v>
      </c>
      <c r="E7" s="2">
        <v>16</v>
      </c>
      <c r="F7" s="3">
        <v>22</v>
      </c>
      <c r="G7" s="3">
        <v>13.937</v>
      </c>
      <c r="H7" s="3">
        <v>13.937</v>
      </c>
      <c r="I7" s="21">
        <v>10</v>
      </c>
      <c r="J7" s="21">
        <v>10.421</v>
      </c>
      <c r="K7" s="21">
        <v>10.4</v>
      </c>
      <c r="L7" s="58">
        <v>10.4</v>
      </c>
      <c r="M7" s="21">
        <v>0</v>
      </c>
      <c r="N7" s="89">
        <v>0</v>
      </c>
      <c r="O7" s="89">
        <v>0</v>
      </c>
      <c r="P7" s="8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51">
        <v>0</v>
      </c>
      <c r="X7" s="151">
        <v>0</v>
      </c>
      <c r="Y7" s="175">
        <v>0</v>
      </c>
      <c r="Z7" s="175">
        <v>0</v>
      </c>
      <c r="AA7" s="175">
        <v>0</v>
      </c>
      <c r="AB7" s="175">
        <v>0</v>
      </c>
      <c r="AC7" s="175">
        <v>0</v>
      </c>
    </row>
    <row r="8" spans="2:29" ht="12" customHeight="1">
      <c r="B8" s="268" t="s">
        <v>301</v>
      </c>
      <c r="C8" s="307">
        <v>0</v>
      </c>
      <c r="D8" s="307">
        <v>0</v>
      </c>
      <c r="E8" s="307">
        <v>0</v>
      </c>
      <c r="F8" s="307">
        <v>0</v>
      </c>
      <c r="G8" s="307">
        <v>0</v>
      </c>
      <c r="H8" s="307">
        <v>0</v>
      </c>
      <c r="I8" s="271">
        <v>8</v>
      </c>
      <c r="J8" s="271">
        <v>8.224</v>
      </c>
      <c r="K8" s="271">
        <v>8.2</v>
      </c>
      <c r="L8" s="273">
        <v>0</v>
      </c>
      <c r="M8" s="271">
        <v>22.33</v>
      </c>
      <c r="N8" s="300">
        <v>22.33</v>
      </c>
      <c r="O8" s="300">
        <v>22.33</v>
      </c>
      <c r="P8" s="300">
        <v>22.33</v>
      </c>
      <c r="Q8" s="308">
        <v>22.33</v>
      </c>
      <c r="R8" s="308">
        <v>22.33</v>
      </c>
      <c r="S8" s="308">
        <v>31.71</v>
      </c>
      <c r="T8" s="308">
        <v>31.71</v>
      </c>
      <c r="U8" s="308">
        <v>45</v>
      </c>
      <c r="V8" s="308">
        <v>45</v>
      </c>
      <c r="W8" s="308">
        <v>45</v>
      </c>
      <c r="X8" s="308">
        <v>64</v>
      </c>
      <c r="Y8" s="308">
        <v>64.3</v>
      </c>
      <c r="Z8" s="308">
        <v>100</v>
      </c>
      <c r="AA8" s="308">
        <v>92.957</v>
      </c>
      <c r="AB8" s="308">
        <v>92.5</v>
      </c>
      <c r="AC8" s="308">
        <v>90</v>
      </c>
    </row>
    <row r="9" spans="2:29" ht="12" customHeight="1">
      <c r="B9" s="20" t="s">
        <v>1794</v>
      </c>
      <c r="C9" s="2">
        <v>26</v>
      </c>
      <c r="D9" s="2">
        <v>20</v>
      </c>
      <c r="E9" s="2">
        <v>19</v>
      </c>
      <c r="F9" s="3">
        <v>20</v>
      </c>
      <c r="G9" s="3">
        <v>8.224</v>
      </c>
      <c r="H9" s="3">
        <v>8.224</v>
      </c>
      <c r="I9" s="29">
        <v>0</v>
      </c>
      <c r="J9" s="29">
        <v>0</v>
      </c>
      <c r="K9" s="29">
        <v>0</v>
      </c>
      <c r="L9" s="29">
        <v>8.2</v>
      </c>
      <c r="M9" s="21">
        <v>0</v>
      </c>
      <c r="N9" s="89">
        <v>3.61</v>
      </c>
      <c r="O9" s="89">
        <v>3.61</v>
      </c>
      <c r="P9" s="89">
        <v>3.816</v>
      </c>
      <c r="Q9" s="119">
        <v>3.82</v>
      </c>
      <c r="R9" s="119">
        <v>9.32</v>
      </c>
      <c r="S9" s="119">
        <v>9.32</v>
      </c>
      <c r="T9" s="119">
        <v>9.32</v>
      </c>
      <c r="U9" s="150">
        <v>9.316</v>
      </c>
      <c r="V9" s="150">
        <v>9.316</v>
      </c>
      <c r="W9" s="119">
        <v>13</v>
      </c>
      <c r="X9" s="119">
        <v>11.974</v>
      </c>
      <c r="Y9" s="119">
        <v>11.974</v>
      </c>
      <c r="Z9" s="119">
        <v>12</v>
      </c>
      <c r="AA9" s="119">
        <v>21.83</v>
      </c>
      <c r="AB9" s="119">
        <v>21.8</v>
      </c>
      <c r="AC9" s="119">
        <v>21.8</v>
      </c>
    </row>
    <row r="10" spans="2:29" ht="12" customHeight="1">
      <c r="B10" s="268" t="s">
        <v>258</v>
      </c>
      <c r="C10" s="271">
        <f aca="true" t="shared" si="2" ref="C10:L10">SUM(C11:C13)</f>
        <v>1215</v>
      </c>
      <c r="D10" s="271">
        <f t="shared" si="2"/>
        <v>1205</v>
      </c>
      <c r="E10" s="271">
        <f t="shared" si="2"/>
        <v>1233</v>
      </c>
      <c r="F10" s="271">
        <f t="shared" si="2"/>
        <v>1243</v>
      </c>
      <c r="G10" s="271">
        <f t="shared" si="2"/>
        <v>1269.998</v>
      </c>
      <c r="H10" s="271">
        <f t="shared" si="2"/>
        <v>1297.527</v>
      </c>
      <c r="I10" s="271">
        <f t="shared" si="2"/>
        <v>1295</v>
      </c>
      <c r="J10" s="271">
        <f t="shared" si="2"/>
        <v>1274.183</v>
      </c>
      <c r="K10" s="271">
        <f t="shared" si="2"/>
        <v>1273.8</v>
      </c>
      <c r="L10" s="271">
        <f t="shared" si="2"/>
        <v>1264.56</v>
      </c>
      <c r="M10" s="271">
        <v>1275.313</v>
      </c>
      <c r="N10" s="271">
        <v>1203.584</v>
      </c>
      <c r="O10" s="271">
        <v>1268.357</v>
      </c>
      <c r="P10" s="271">
        <v>1270.711</v>
      </c>
      <c r="Q10" s="271">
        <v>1271.737</v>
      </c>
      <c r="R10" s="271">
        <v>1261.6</v>
      </c>
      <c r="S10" s="271">
        <v>1250.42</v>
      </c>
      <c r="T10" s="271">
        <v>1247.17</v>
      </c>
      <c r="U10" s="308">
        <v>1234.737</v>
      </c>
      <c r="V10" s="308">
        <v>1208.15</v>
      </c>
      <c r="W10" s="308">
        <v>1266</v>
      </c>
      <c r="X10" s="308">
        <v>1245</v>
      </c>
      <c r="Y10" s="308">
        <v>1245.3</v>
      </c>
      <c r="Z10" s="308">
        <v>1194</v>
      </c>
      <c r="AA10" s="308">
        <v>1191.004</v>
      </c>
      <c r="AB10" s="308">
        <v>1127.4</v>
      </c>
      <c r="AC10" s="308">
        <v>1127.3</v>
      </c>
    </row>
    <row r="11" spans="2:29" ht="12" customHeight="1" hidden="1">
      <c r="B11" s="22" t="s">
        <v>259</v>
      </c>
      <c r="C11" s="40">
        <v>0</v>
      </c>
      <c r="D11" s="23">
        <v>81</v>
      </c>
      <c r="E11" s="23">
        <v>81</v>
      </c>
      <c r="F11" s="24">
        <v>111</v>
      </c>
      <c r="G11" s="54">
        <v>111.391</v>
      </c>
      <c r="H11" s="24">
        <v>111.391</v>
      </c>
      <c r="I11" s="25">
        <v>78</v>
      </c>
      <c r="J11" s="25">
        <v>77.793</v>
      </c>
      <c r="K11" s="25">
        <v>77.8</v>
      </c>
      <c r="L11" s="62">
        <f>438.3</f>
        <v>438.3</v>
      </c>
      <c r="M11" s="79">
        <v>438.004</v>
      </c>
      <c r="N11" s="95">
        <f>441.554</f>
        <v>441.554</v>
      </c>
      <c r="O11" s="95">
        <f>441.574</f>
        <v>441.574</v>
      </c>
      <c r="P11" s="95">
        <v>442.317</v>
      </c>
      <c r="Q11" s="95">
        <v>441.953</v>
      </c>
      <c r="R11" s="95">
        <f>435.513</f>
        <v>435.513</v>
      </c>
      <c r="S11" s="95">
        <v>436</v>
      </c>
      <c r="T11" s="95">
        <v>436</v>
      </c>
      <c r="U11" s="95">
        <v>456</v>
      </c>
      <c r="V11" s="95"/>
      <c r="Y11" s="176"/>
      <c r="Z11" s="176"/>
      <c r="AA11" s="176"/>
      <c r="AB11" s="176"/>
      <c r="AC11" s="176"/>
    </row>
    <row r="12" spans="2:29" ht="12" customHeight="1" hidden="1">
      <c r="B12" s="22" t="s">
        <v>260</v>
      </c>
      <c r="C12" s="23">
        <v>1136</v>
      </c>
      <c r="D12" s="23">
        <v>805</v>
      </c>
      <c r="E12" s="23">
        <v>805</v>
      </c>
      <c r="F12" s="24">
        <v>1132</v>
      </c>
      <c r="G12" s="24">
        <v>635.421</v>
      </c>
      <c r="H12" s="24">
        <v>635.421</v>
      </c>
      <c r="I12" s="25">
        <v>650</v>
      </c>
      <c r="J12" s="25">
        <f>0.447+627.134</f>
        <v>627.581</v>
      </c>
      <c r="K12" s="25">
        <f>0.4+626.7</f>
        <v>627.1</v>
      </c>
      <c r="L12" s="62">
        <f>244.8+21.4</f>
        <v>266.2</v>
      </c>
      <c r="M12" s="79">
        <f>18.034+247.469</f>
        <v>265.503</v>
      </c>
      <c r="N12" s="95">
        <f>0.175+241.71</f>
        <v>241.88500000000002</v>
      </c>
      <c r="O12" s="95">
        <f>111.85+673.86</f>
        <v>785.71</v>
      </c>
      <c r="P12" s="95">
        <f>117.783+671.916</f>
        <v>789.6990000000001</v>
      </c>
      <c r="Q12" s="95">
        <f>118.831+671.363</f>
        <v>790.1940000000001</v>
      </c>
      <c r="R12" s="95">
        <f>111.422+660.106</f>
        <v>771.528</v>
      </c>
      <c r="S12" s="95">
        <v>790</v>
      </c>
      <c r="T12" s="95">
        <v>756</v>
      </c>
      <c r="U12" s="135">
        <v>756</v>
      </c>
      <c r="V12" s="135"/>
      <c r="Y12" s="176"/>
      <c r="Z12" s="176"/>
      <c r="AA12" s="176"/>
      <c r="AB12" s="176"/>
      <c r="AC12" s="176"/>
    </row>
    <row r="13" spans="2:29" ht="12" customHeight="1" hidden="1">
      <c r="B13" s="22" t="s">
        <v>261</v>
      </c>
      <c r="C13" s="23">
        <v>79</v>
      </c>
      <c r="D13" s="23">
        <v>319</v>
      </c>
      <c r="E13" s="23">
        <v>347</v>
      </c>
      <c r="F13" s="41">
        <v>0</v>
      </c>
      <c r="G13" s="41">
        <v>523.186</v>
      </c>
      <c r="H13" s="41">
        <v>550.715</v>
      </c>
      <c r="I13" s="25">
        <v>567</v>
      </c>
      <c r="J13" s="25">
        <f>74.684+494.125</f>
        <v>568.809</v>
      </c>
      <c r="K13" s="25">
        <f>74.7+494.2</f>
        <v>568.9</v>
      </c>
      <c r="L13" s="62">
        <f>451.7+108.44-0.08</f>
        <v>560.06</v>
      </c>
      <c r="M13" s="79">
        <f>107.567+460.492</f>
        <v>568.059</v>
      </c>
      <c r="N13" s="95">
        <f>63.496+443.174</f>
        <v>506.66999999999996</v>
      </c>
      <c r="O13" s="95">
        <f>20.556+13.618</f>
        <v>34.174</v>
      </c>
      <c r="P13" s="95">
        <f>20.894+12.832</f>
        <v>33.726</v>
      </c>
      <c r="Q13" s="95">
        <f>21.792+12.821</f>
        <v>34.613</v>
      </c>
      <c r="R13" s="95">
        <f>21.792+12.601</f>
        <v>34.393</v>
      </c>
      <c r="S13" s="95">
        <v>35</v>
      </c>
      <c r="T13" s="95">
        <v>35</v>
      </c>
      <c r="U13" s="135">
        <v>35</v>
      </c>
      <c r="V13" s="135"/>
      <c r="Y13" s="176"/>
      <c r="Z13" s="176"/>
      <c r="AA13" s="176"/>
      <c r="AB13" s="176"/>
      <c r="AC13" s="176"/>
    </row>
    <row r="14" spans="2:29" ht="12" customHeight="1">
      <c r="B14" s="15"/>
      <c r="C14" s="21"/>
      <c r="D14" s="21"/>
      <c r="E14" s="21"/>
      <c r="F14" s="21"/>
      <c r="G14" s="21"/>
      <c r="H14" s="21"/>
      <c r="I14" s="21"/>
      <c r="J14" s="21"/>
      <c r="K14" s="21"/>
      <c r="L14" s="58"/>
      <c r="N14" s="89"/>
      <c r="O14" s="89"/>
      <c r="P14" s="89"/>
      <c r="R14" s="119"/>
      <c r="S14" s="119"/>
      <c r="T14" s="119"/>
      <c r="W14" s="161"/>
      <c r="Y14" s="176"/>
      <c r="Z14" s="176"/>
      <c r="AA14" s="176"/>
      <c r="AB14" s="176"/>
      <c r="AC14" s="176"/>
    </row>
    <row r="15" spans="2:29" ht="12" customHeight="1">
      <c r="B15" s="264" t="s">
        <v>262</v>
      </c>
      <c r="C15" s="267">
        <f aca="true" t="shared" si="3" ref="C15:R15">SUM(C16:C19)</f>
        <v>418</v>
      </c>
      <c r="D15" s="267">
        <f t="shared" si="3"/>
        <v>419</v>
      </c>
      <c r="E15" s="267">
        <f t="shared" si="3"/>
        <v>421</v>
      </c>
      <c r="F15" s="267">
        <f t="shared" si="3"/>
        <v>424</v>
      </c>
      <c r="G15" s="267">
        <f t="shared" si="3"/>
        <v>423</v>
      </c>
      <c r="H15" s="267">
        <f t="shared" si="3"/>
        <v>452</v>
      </c>
      <c r="I15" s="267">
        <f t="shared" si="3"/>
        <v>451</v>
      </c>
      <c r="J15" s="267">
        <f t="shared" si="3"/>
        <v>451</v>
      </c>
      <c r="K15" s="267">
        <f t="shared" si="3"/>
        <v>451</v>
      </c>
      <c r="L15" s="267">
        <f t="shared" si="3"/>
        <v>445.6</v>
      </c>
      <c r="M15" s="267">
        <f t="shared" si="3"/>
        <v>443</v>
      </c>
      <c r="N15" s="267">
        <f t="shared" si="3"/>
        <v>442</v>
      </c>
      <c r="O15" s="267">
        <f t="shared" si="3"/>
        <v>442</v>
      </c>
      <c r="P15" s="267">
        <f t="shared" si="3"/>
        <v>449</v>
      </c>
      <c r="Q15" s="267">
        <f t="shared" si="3"/>
        <v>449</v>
      </c>
      <c r="R15" s="267">
        <f t="shared" si="3"/>
        <v>454</v>
      </c>
      <c r="S15" s="267">
        <f aca="true" t="shared" si="4" ref="S15:X15">SUM(S16:S19)</f>
        <v>457</v>
      </c>
      <c r="T15" s="267">
        <f t="shared" si="4"/>
        <v>467</v>
      </c>
      <c r="U15" s="267">
        <f t="shared" si="4"/>
        <v>415</v>
      </c>
      <c r="V15" s="267">
        <f t="shared" si="4"/>
        <v>413</v>
      </c>
      <c r="W15" s="267">
        <f t="shared" si="4"/>
        <v>411</v>
      </c>
      <c r="X15" s="267">
        <f t="shared" si="4"/>
        <v>411.6</v>
      </c>
      <c r="Y15" s="267">
        <f>SUM(Y16:Y19)</f>
        <v>418.03</v>
      </c>
      <c r="Z15" s="267">
        <f>SUM(Z16:Z19)</f>
        <v>413</v>
      </c>
      <c r="AA15" s="267">
        <f>SUM(AA16:AA19)</f>
        <v>413</v>
      </c>
      <c r="AB15" s="267">
        <f>SUM(AB16:AB19)</f>
        <v>412</v>
      </c>
      <c r="AC15" s="267">
        <f>SUM(AC16:AC19)</f>
        <v>409</v>
      </c>
    </row>
    <row r="16" spans="2:29" ht="12" customHeight="1">
      <c r="B16" s="20" t="s">
        <v>256</v>
      </c>
      <c r="C16" s="2">
        <v>91</v>
      </c>
      <c r="D16" s="2">
        <v>92</v>
      </c>
      <c r="E16" s="2">
        <v>91</v>
      </c>
      <c r="F16" s="3">
        <v>91</v>
      </c>
      <c r="G16" s="3">
        <v>93</v>
      </c>
      <c r="H16" s="3">
        <v>93</v>
      </c>
      <c r="I16" s="21">
        <v>93</v>
      </c>
      <c r="J16" s="21">
        <v>93</v>
      </c>
      <c r="K16" s="21">
        <v>93</v>
      </c>
      <c r="L16" s="58">
        <v>92.6</v>
      </c>
      <c r="M16" s="21">
        <v>93</v>
      </c>
      <c r="N16" s="89">
        <v>93</v>
      </c>
      <c r="O16" s="89">
        <v>93</v>
      </c>
      <c r="P16" s="89">
        <v>91</v>
      </c>
      <c r="Q16" s="122">
        <v>91</v>
      </c>
      <c r="R16" s="119">
        <v>91</v>
      </c>
      <c r="S16" s="119">
        <v>91</v>
      </c>
      <c r="T16" s="119">
        <v>91</v>
      </c>
      <c r="U16" s="119">
        <v>93</v>
      </c>
      <c r="V16" s="119">
        <v>92.6</v>
      </c>
      <c r="W16" s="119">
        <v>93</v>
      </c>
      <c r="X16" s="158">
        <v>92.6</v>
      </c>
      <c r="Y16" s="158">
        <v>92.6</v>
      </c>
      <c r="Z16" s="158">
        <v>93</v>
      </c>
      <c r="AA16" s="158">
        <v>93</v>
      </c>
      <c r="AB16" s="158">
        <v>93</v>
      </c>
      <c r="AC16" s="158">
        <v>93</v>
      </c>
    </row>
    <row r="17" spans="2:29" ht="12" customHeight="1">
      <c r="B17" s="268" t="s">
        <v>257</v>
      </c>
      <c r="C17" s="307">
        <v>0</v>
      </c>
      <c r="D17" s="307">
        <v>0</v>
      </c>
      <c r="E17" s="269">
        <v>0</v>
      </c>
      <c r="F17" s="309">
        <v>0</v>
      </c>
      <c r="G17" s="309">
        <v>2</v>
      </c>
      <c r="H17" s="309">
        <v>2</v>
      </c>
      <c r="I17" s="271">
        <v>2</v>
      </c>
      <c r="J17" s="271">
        <v>2</v>
      </c>
      <c r="K17" s="271">
        <v>2</v>
      </c>
      <c r="L17" s="273">
        <v>2</v>
      </c>
      <c r="M17" s="271">
        <v>2</v>
      </c>
      <c r="N17" s="300">
        <v>2</v>
      </c>
      <c r="O17" s="300">
        <v>2</v>
      </c>
      <c r="P17" s="300">
        <v>12</v>
      </c>
      <c r="Q17" s="310">
        <v>12</v>
      </c>
      <c r="R17" s="308">
        <v>17</v>
      </c>
      <c r="S17" s="308">
        <v>26</v>
      </c>
      <c r="T17" s="308">
        <v>39</v>
      </c>
      <c r="U17" s="308">
        <v>27</v>
      </c>
      <c r="V17" s="308">
        <v>27</v>
      </c>
      <c r="W17" s="308">
        <v>27</v>
      </c>
      <c r="X17" s="308">
        <v>27</v>
      </c>
      <c r="Y17" s="308">
        <v>27</v>
      </c>
      <c r="Z17" s="308">
        <v>27</v>
      </c>
      <c r="AA17" s="308">
        <v>27</v>
      </c>
      <c r="AB17" s="308">
        <v>33</v>
      </c>
      <c r="AC17" s="308">
        <v>33</v>
      </c>
    </row>
    <row r="18" spans="2:29" ht="12" customHeight="1">
      <c r="B18" s="20" t="s">
        <v>1794</v>
      </c>
      <c r="C18" s="2">
        <v>2</v>
      </c>
      <c r="D18" s="2">
        <v>2</v>
      </c>
      <c r="E18" s="2">
        <v>2</v>
      </c>
      <c r="F18" s="3">
        <v>5</v>
      </c>
      <c r="G18" s="3">
        <v>7</v>
      </c>
      <c r="H18" s="3">
        <v>7</v>
      </c>
      <c r="I18" s="21">
        <v>7</v>
      </c>
      <c r="J18" s="21">
        <v>7</v>
      </c>
      <c r="K18" s="21">
        <v>7</v>
      </c>
      <c r="L18" s="58">
        <v>7</v>
      </c>
      <c r="M18" s="21">
        <v>7</v>
      </c>
      <c r="N18" s="89">
        <v>7</v>
      </c>
      <c r="O18" s="89">
        <v>9</v>
      </c>
      <c r="P18" s="89">
        <v>9</v>
      </c>
      <c r="Q18" s="122">
        <v>9</v>
      </c>
      <c r="R18" s="119">
        <v>9</v>
      </c>
      <c r="S18" s="119">
        <v>9</v>
      </c>
      <c r="T18" s="119">
        <v>9</v>
      </c>
      <c r="U18" s="119">
        <v>6</v>
      </c>
      <c r="V18" s="119">
        <v>6.4</v>
      </c>
      <c r="W18" s="119">
        <v>6</v>
      </c>
      <c r="X18" s="119">
        <v>5</v>
      </c>
      <c r="Y18" s="119">
        <v>6.43</v>
      </c>
      <c r="Z18" s="119">
        <v>6</v>
      </c>
      <c r="AA18" s="119">
        <v>6</v>
      </c>
      <c r="AB18" s="119">
        <v>6</v>
      </c>
      <c r="AC18" s="119">
        <v>8</v>
      </c>
    </row>
    <row r="19" spans="2:29" ht="12" customHeight="1">
      <c r="B19" s="268" t="s">
        <v>258</v>
      </c>
      <c r="C19" s="271">
        <f aca="true" t="shared" si="5" ref="C19:P19">SUM(C20:C22)</f>
        <v>325</v>
      </c>
      <c r="D19" s="271">
        <f t="shared" si="5"/>
        <v>325</v>
      </c>
      <c r="E19" s="271">
        <f t="shared" si="5"/>
        <v>328</v>
      </c>
      <c r="F19" s="271">
        <f t="shared" si="5"/>
        <v>328</v>
      </c>
      <c r="G19" s="271">
        <f t="shared" si="5"/>
        <v>321</v>
      </c>
      <c r="H19" s="271">
        <f t="shared" si="5"/>
        <v>350</v>
      </c>
      <c r="I19" s="271">
        <f t="shared" si="5"/>
        <v>349</v>
      </c>
      <c r="J19" s="271">
        <f t="shared" si="5"/>
        <v>349</v>
      </c>
      <c r="K19" s="271">
        <f t="shared" si="5"/>
        <v>349</v>
      </c>
      <c r="L19" s="271">
        <f t="shared" si="5"/>
        <v>344</v>
      </c>
      <c r="M19" s="271">
        <f t="shared" si="5"/>
        <v>341</v>
      </c>
      <c r="N19" s="271">
        <f t="shared" si="5"/>
        <v>340</v>
      </c>
      <c r="O19" s="271">
        <f t="shared" si="5"/>
        <v>338</v>
      </c>
      <c r="P19" s="271">
        <f t="shared" si="5"/>
        <v>337</v>
      </c>
      <c r="Q19" s="310">
        <v>337</v>
      </c>
      <c r="R19" s="308">
        <v>337</v>
      </c>
      <c r="S19" s="308">
        <v>331</v>
      </c>
      <c r="T19" s="308">
        <v>328</v>
      </c>
      <c r="U19" s="308">
        <v>289</v>
      </c>
      <c r="V19" s="308">
        <v>287</v>
      </c>
      <c r="W19" s="308">
        <v>285</v>
      </c>
      <c r="X19" s="308">
        <v>287</v>
      </c>
      <c r="Y19" s="308">
        <v>292</v>
      </c>
      <c r="Z19" s="308">
        <v>287</v>
      </c>
      <c r="AA19" s="308">
        <v>287</v>
      </c>
      <c r="AB19" s="308">
        <v>280</v>
      </c>
      <c r="AC19" s="308">
        <v>275</v>
      </c>
    </row>
    <row r="20" spans="2:29" ht="12" customHeight="1" hidden="1">
      <c r="B20" s="22" t="s">
        <v>259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79">
        <v>0</v>
      </c>
      <c r="N20" s="95">
        <v>0</v>
      </c>
      <c r="O20" s="95">
        <v>0</v>
      </c>
      <c r="P20" s="95">
        <v>0</v>
      </c>
      <c r="R20" s="119"/>
      <c r="S20" s="119"/>
      <c r="T20" s="119"/>
      <c r="Y20" s="176"/>
      <c r="Z20" s="176"/>
      <c r="AA20" s="176"/>
      <c r="AB20" s="176"/>
      <c r="AC20" s="176"/>
    </row>
    <row r="21" spans="2:29" ht="12" customHeight="1" hidden="1">
      <c r="B21" s="22" t="s">
        <v>260</v>
      </c>
      <c r="C21" s="23">
        <v>97</v>
      </c>
      <c r="D21" s="23">
        <v>64</v>
      </c>
      <c r="E21" s="23">
        <v>64</v>
      </c>
      <c r="F21" s="24">
        <v>56</v>
      </c>
      <c r="G21" s="24">
        <v>100</v>
      </c>
      <c r="H21" s="24">
        <v>100</v>
      </c>
      <c r="I21" s="25">
        <v>99</v>
      </c>
      <c r="J21" s="25">
        <v>99</v>
      </c>
      <c r="K21" s="25">
        <v>99</v>
      </c>
      <c r="L21" s="62">
        <v>99</v>
      </c>
      <c r="M21" s="79">
        <v>99</v>
      </c>
      <c r="N21" s="95">
        <v>68</v>
      </c>
      <c r="O21" s="95">
        <v>66</v>
      </c>
      <c r="P21" s="95">
        <v>66</v>
      </c>
      <c r="R21" s="119"/>
      <c r="S21" s="119"/>
      <c r="T21" s="119"/>
      <c r="Y21" s="176"/>
      <c r="Z21" s="176"/>
      <c r="AA21" s="176"/>
      <c r="AB21" s="176"/>
      <c r="AC21" s="176"/>
    </row>
    <row r="22" spans="2:29" ht="12" customHeight="1" hidden="1">
      <c r="B22" s="22" t="s">
        <v>261</v>
      </c>
      <c r="C22" s="23">
        <v>228</v>
      </c>
      <c r="D22" s="23">
        <v>261</v>
      </c>
      <c r="E22" s="23">
        <v>264</v>
      </c>
      <c r="F22" s="24">
        <v>272</v>
      </c>
      <c r="G22" s="24">
        <v>221</v>
      </c>
      <c r="H22" s="24">
        <v>250</v>
      </c>
      <c r="I22" s="25">
        <v>250</v>
      </c>
      <c r="J22" s="25">
        <v>250</v>
      </c>
      <c r="K22" s="25">
        <v>250</v>
      </c>
      <c r="L22" s="62">
        <v>245</v>
      </c>
      <c r="M22" s="79">
        <v>242</v>
      </c>
      <c r="N22" s="95">
        <v>272</v>
      </c>
      <c r="O22" s="95">
        <v>272</v>
      </c>
      <c r="P22" s="95">
        <v>271</v>
      </c>
      <c r="R22" s="119"/>
      <c r="S22" s="119"/>
      <c r="T22" s="119"/>
      <c r="Y22" s="176"/>
      <c r="Z22" s="176"/>
      <c r="AA22" s="176"/>
      <c r="AB22" s="176"/>
      <c r="AC22" s="176"/>
    </row>
    <row r="23" spans="2:29" ht="12" customHeight="1">
      <c r="B23" s="15"/>
      <c r="C23" s="21"/>
      <c r="D23" s="21"/>
      <c r="E23" s="21"/>
      <c r="F23" s="21"/>
      <c r="G23" s="21"/>
      <c r="H23" s="21"/>
      <c r="I23" s="21"/>
      <c r="J23" s="21"/>
      <c r="K23" s="21"/>
      <c r="L23" s="58"/>
      <c r="N23" s="89"/>
      <c r="O23" s="89"/>
      <c r="P23" s="89"/>
      <c r="R23" s="119"/>
      <c r="S23" s="119"/>
      <c r="T23" s="119"/>
      <c r="Y23" s="176"/>
      <c r="Z23" s="176"/>
      <c r="AA23" s="176"/>
      <c r="AB23" s="176"/>
      <c r="AC23" s="176"/>
    </row>
    <row r="24" spans="2:29" s="118" customFormat="1" ht="12" customHeight="1">
      <c r="B24" s="264" t="s">
        <v>270</v>
      </c>
      <c r="C24" s="267">
        <f aca="true" t="shared" si="6" ref="C24:R24">SUM(C25:C28)</f>
        <v>756</v>
      </c>
      <c r="D24" s="267">
        <f t="shared" si="6"/>
        <v>764</v>
      </c>
      <c r="E24" s="267">
        <f t="shared" si="6"/>
        <v>764</v>
      </c>
      <c r="F24" s="267">
        <f t="shared" si="6"/>
        <v>764</v>
      </c>
      <c r="G24" s="267">
        <f t="shared" si="6"/>
        <v>764</v>
      </c>
      <c r="H24" s="267">
        <f t="shared" si="6"/>
        <v>764</v>
      </c>
      <c r="I24" s="267">
        <f t="shared" si="6"/>
        <v>766</v>
      </c>
      <c r="J24" s="267">
        <f t="shared" si="6"/>
        <v>766</v>
      </c>
      <c r="K24" s="267">
        <f t="shared" si="6"/>
        <v>766</v>
      </c>
      <c r="L24" s="267">
        <f t="shared" si="6"/>
        <v>766</v>
      </c>
      <c r="M24" s="267">
        <f t="shared" si="6"/>
        <v>755</v>
      </c>
      <c r="N24" s="267">
        <f t="shared" si="6"/>
        <v>766</v>
      </c>
      <c r="O24" s="267">
        <f t="shared" si="6"/>
        <v>747</v>
      </c>
      <c r="P24" s="267">
        <f t="shared" si="6"/>
        <v>709.8000000000001</v>
      </c>
      <c r="Q24" s="267">
        <f t="shared" si="6"/>
        <v>750</v>
      </c>
      <c r="R24" s="267">
        <f t="shared" si="6"/>
        <v>749.6</v>
      </c>
      <c r="S24" s="267">
        <f aca="true" t="shared" si="7" ref="S24:X24">SUM(S25:S28)</f>
        <v>749.6</v>
      </c>
      <c r="T24" s="267">
        <f t="shared" si="7"/>
        <v>749.6</v>
      </c>
      <c r="U24" s="267">
        <f t="shared" si="7"/>
        <v>680</v>
      </c>
      <c r="V24" s="267">
        <f t="shared" si="7"/>
        <v>692</v>
      </c>
      <c r="W24" s="267">
        <f t="shared" si="7"/>
        <v>695</v>
      </c>
      <c r="X24" s="267">
        <f t="shared" si="7"/>
        <v>679</v>
      </c>
      <c r="Y24" s="267">
        <f>SUM(Y25:Y28)</f>
        <v>682</v>
      </c>
      <c r="Z24" s="267">
        <f>SUM(Z25:Z28)</f>
        <v>664.721</v>
      </c>
      <c r="AA24" s="267">
        <f>SUM(AA25:AA28)</f>
        <v>673.0980000000001</v>
      </c>
      <c r="AB24" s="267">
        <f>SUM(AB25:AB28)</f>
        <v>673.1</v>
      </c>
      <c r="AC24" s="267">
        <f>SUM(AC25:AC28)</f>
        <v>783.2</v>
      </c>
    </row>
    <row r="25" spans="2:29" s="118" customFormat="1" ht="12" customHeight="1">
      <c r="B25" s="110" t="s">
        <v>256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2">
        <v>0</v>
      </c>
      <c r="N25" s="119">
        <v>0</v>
      </c>
      <c r="O25" s="119">
        <v>0</v>
      </c>
      <c r="P25" s="119">
        <v>0</v>
      </c>
      <c r="Q25" s="122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</row>
    <row r="26" spans="2:29" s="118" customFormat="1" ht="12" customHeight="1">
      <c r="B26" s="278" t="s">
        <v>257</v>
      </c>
      <c r="C26" s="279">
        <v>3</v>
      </c>
      <c r="D26" s="279">
        <v>3</v>
      </c>
      <c r="E26" s="280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74">
        <v>0</v>
      </c>
      <c r="N26" s="308">
        <v>0</v>
      </c>
      <c r="O26" s="308">
        <v>0</v>
      </c>
      <c r="P26" s="308">
        <v>0</v>
      </c>
      <c r="Q26" s="310">
        <v>0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308">
        <v>0</v>
      </c>
      <c r="AA26" s="308">
        <v>0</v>
      </c>
      <c r="AB26" s="308">
        <v>0</v>
      </c>
      <c r="AC26" s="308">
        <v>0</v>
      </c>
    </row>
    <row r="27" spans="2:29" s="118" customFormat="1" ht="12" customHeight="1">
      <c r="B27" s="20" t="s">
        <v>1794</v>
      </c>
      <c r="C27" s="111">
        <v>0</v>
      </c>
      <c r="D27" s="111">
        <v>0</v>
      </c>
      <c r="E27" s="115">
        <v>3</v>
      </c>
      <c r="F27" s="116">
        <v>3</v>
      </c>
      <c r="G27" s="116">
        <v>3</v>
      </c>
      <c r="H27" s="116">
        <v>3</v>
      </c>
      <c r="I27" s="116">
        <v>3</v>
      </c>
      <c r="J27" s="116">
        <v>3</v>
      </c>
      <c r="K27" s="116">
        <v>3</v>
      </c>
      <c r="L27" s="120">
        <v>3</v>
      </c>
      <c r="M27" s="112">
        <v>3</v>
      </c>
      <c r="N27" s="119">
        <v>3</v>
      </c>
      <c r="O27" s="119">
        <v>3</v>
      </c>
      <c r="P27" s="119">
        <v>2.6</v>
      </c>
      <c r="Q27" s="122">
        <v>3</v>
      </c>
      <c r="R27" s="119">
        <v>2.6</v>
      </c>
      <c r="S27" s="119">
        <v>2.6</v>
      </c>
      <c r="T27" s="119">
        <v>2.6</v>
      </c>
      <c r="U27" s="122">
        <v>3</v>
      </c>
      <c r="V27" s="122">
        <v>3</v>
      </c>
      <c r="W27" s="122">
        <v>3</v>
      </c>
      <c r="X27" s="150">
        <v>3</v>
      </c>
      <c r="Y27" s="119">
        <v>3</v>
      </c>
      <c r="Z27" s="119">
        <v>2.594</v>
      </c>
      <c r="AA27" s="119">
        <v>2.594</v>
      </c>
      <c r="AB27" s="119">
        <v>2.6</v>
      </c>
      <c r="AC27" s="119">
        <v>2.6</v>
      </c>
    </row>
    <row r="28" spans="2:29" s="118" customFormat="1" ht="12" customHeight="1">
      <c r="B28" s="278" t="s">
        <v>258</v>
      </c>
      <c r="C28" s="274">
        <f aca="true" t="shared" si="8" ref="C28:I28">SUM(C29:C31)</f>
        <v>753</v>
      </c>
      <c r="D28" s="274">
        <f t="shared" si="8"/>
        <v>761</v>
      </c>
      <c r="E28" s="274">
        <f t="shared" si="8"/>
        <v>761</v>
      </c>
      <c r="F28" s="274">
        <f t="shared" si="8"/>
        <v>761</v>
      </c>
      <c r="G28" s="274">
        <f t="shared" si="8"/>
        <v>761</v>
      </c>
      <c r="H28" s="274">
        <f t="shared" si="8"/>
        <v>761</v>
      </c>
      <c r="I28" s="274">
        <f t="shared" si="8"/>
        <v>763</v>
      </c>
      <c r="J28" s="274">
        <v>763</v>
      </c>
      <c r="K28" s="274">
        <v>763</v>
      </c>
      <c r="L28" s="274">
        <v>763</v>
      </c>
      <c r="M28" s="274">
        <v>752</v>
      </c>
      <c r="N28" s="274">
        <v>763</v>
      </c>
      <c r="O28" s="274">
        <v>744</v>
      </c>
      <c r="P28" s="274">
        <v>707.2</v>
      </c>
      <c r="Q28" s="310">
        <v>747</v>
      </c>
      <c r="R28" s="308">
        <v>747</v>
      </c>
      <c r="S28" s="308">
        <v>747</v>
      </c>
      <c r="T28" s="308">
        <v>747</v>
      </c>
      <c r="U28" s="310">
        <v>677</v>
      </c>
      <c r="V28" s="310">
        <v>689</v>
      </c>
      <c r="W28" s="310">
        <v>692</v>
      </c>
      <c r="X28" s="308">
        <v>676</v>
      </c>
      <c r="Y28" s="308">
        <v>679</v>
      </c>
      <c r="Z28" s="308">
        <v>662.127</v>
      </c>
      <c r="AA28" s="308">
        <v>670.504</v>
      </c>
      <c r="AB28" s="308">
        <v>670.5</v>
      </c>
      <c r="AC28" s="308">
        <v>780.6</v>
      </c>
    </row>
    <row r="29" spans="2:29" ht="12" customHeight="1" hidden="1">
      <c r="B29" s="22" t="s">
        <v>259</v>
      </c>
      <c r="C29" s="23">
        <v>415</v>
      </c>
      <c r="D29" s="23">
        <v>416</v>
      </c>
      <c r="E29" s="23">
        <v>414</v>
      </c>
      <c r="F29" s="24">
        <v>403</v>
      </c>
      <c r="G29" s="24">
        <v>403</v>
      </c>
      <c r="H29" s="24">
        <v>400</v>
      </c>
      <c r="I29" s="25">
        <v>400</v>
      </c>
      <c r="J29" s="25">
        <v>393</v>
      </c>
      <c r="K29" s="25">
        <v>390</v>
      </c>
      <c r="L29" s="62">
        <v>390</v>
      </c>
      <c r="M29" s="79">
        <v>390</v>
      </c>
      <c r="N29" s="95">
        <v>390</v>
      </c>
      <c r="O29" s="95">
        <v>269</v>
      </c>
      <c r="P29" s="95"/>
      <c r="R29" s="119"/>
      <c r="S29" s="119"/>
      <c r="T29" s="119"/>
      <c r="Y29" s="176"/>
      <c r="Z29" s="176"/>
      <c r="AA29" s="176"/>
      <c r="AB29" s="176"/>
      <c r="AC29" s="176"/>
    </row>
    <row r="30" spans="2:29" ht="12" customHeight="1" hidden="1">
      <c r="B30" s="22" t="s">
        <v>260</v>
      </c>
      <c r="C30" s="23">
        <v>332</v>
      </c>
      <c r="D30" s="23">
        <v>338</v>
      </c>
      <c r="E30" s="23">
        <v>338</v>
      </c>
      <c r="F30" s="24">
        <v>349</v>
      </c>
      <c r="G30" s="24">
        <v>349</v>
      </c>
      <c r="H30" s="24">
        <v>350</v>
      </c>
      <c r="I30" s="25">
        <v>352</v>
      </c>
      <c r="J30" s="25">
        <v>359</v>
      </c>
      <c r="K30" s="25">
        <v>359</v>
      </c>
      <c r="L30" s="62">
        <v>359</v>
      </c>
      <c r="M30" s="79">
        <v>359</v>
      </c>
      <c r="N30" s="95">
        <v>359</v>
      </c>
      <c r="O30" s="95">
        <v>429</v>
      </c>
      <c r="P30" s="95"/>
      <c r="R30" s="119"/>
      <c r="S30" s="119"/>
      <c r="T30" s="119"/>
      <c r="Y30" s="176"/>
      <c r="Z30" s="176"/>
      <c r="AA30" s="176"/>
      <c r="AB30" s="176"/>
      <c r="AC30" s="176"/>
    </row>
    <row r="31" spans="2:29" ht="12" customHeight="1" hidden="1">
      <c r="B31" s="22" t="s">
        <v>261</v>
      </c>
      <c r="C31" s="23">
        <v>6</v>
      </c>
      <c r="D31" s="23">
        <v>7</v>
      </c>
      <c r="E31" s="23">
        <v>9</v>
      </c>
      <c r="F31" s="24">
        <v>9</v>
      </c>
      <c r="G31" s="24">
        <v>9</v>
      </c>
      <c r="H31" s="24">
        <v>11</v>
      </c>
      <c r="I31" s="25">
        <v>11</v>
      </c>
      <c r="J31" s="25">
        <v>11</v>
      </c>
      <c r="K31" s="25">
        <v>14</v>
      </c>
      <c r="L31" s="62">
        <v>14</v>
      </c>
      <c r="M31" s="79">
        <v>14</v>
      </c>
      <c r="N31" s="95">
        <v>14</v>
      </c>
      <c r="O31" s="95">
        <v>49</v>
      </c>
      <c r="P31" s="95"/>
      <c r="R31" s="119"/>
      <c r="S31" s="119"/>
      <c r="T31" s="119"/>
      <c r="Y31" s="176"/>
      <c r="Z31" s="176"/>
      <c r="AA31" s="176"/>
      <c r="AB31" s="176"/>
      <c r="AC31" s="176"/>
    </row>
    <row r="32" spans="2:29" ht="12" customHeight="1">
      <c r="B32" s="15"/>
      <c r="C32" s="21"/>
      <c r="D32" s="21"/>
      <c r="E32" s="21"/>
      <c r="F32" s="21"/>
      <c r="G32" s="21"/>
      <c r="H32" s="21"/>
      <c r="I32" s="21"/>
      <c r="J32" s="21"/>
      <c r="K32" s="21"/>
      <c r="L32" s="58"/>
      <c r="N32" s="89"/>
      <c r="O32" s="89"/>
      <c r="P32" s="89"/>
      <c r="R32" s="119"/>
      <c r="S32" s="119"/>
      <c r="T32" s="119"/>
      <c r="Y32" s="176"/>
      <c r="Z32" s="176"/>
      <c r="AA32" s="176"/>
      <c r="AB32" s="176"/>
      <c r="AC32" s="176"/>
    </row>
    <row r="33" spans="2:29" ht="12" customHeight="1">
      <c r="B33" s="282" t="s">
        <v>271</v>
      </c>
      <c r="C33" s="283">
        <f aca="true" t="shared" si="9" ref="C33:P33">SUM(C34:C37)</f>
        <v>2415</v>
      </c>
      <c r="D33" s="283">
        <f t="shared" si="9"/>
        <v>2436</v>
      </c>
      <c r="E33" s="283">
        <f t="shared" si="9"/>
        <v>2453</v>
      </c>
      <c r="F33" s="283">
        <f t="shared" si="9"/>
        <v>2473</v>
      </c>
      <c r="G33" s="283">
        <f t="shared" si="9"/>
        <v>2479.159</v>
      </c>
      <c r="H33" s="283">
        <f t="shared" si="9"/>
        <v>2535.688</v>
      </c>
      <c r="I33" s="283">
        <f t="shared" si="9"/>
        <v>2530</v>
      </c>
      <c r="J33" s="283">
        <f t="shared" si="9"/>
        <v>2509.828</v>
      </c>
      <c r="K33" s="283">
        <f t="shared" si="9"/>
        <v>2509.4</v>
      </c>
      <c r="L33" s="283">
        <f t="shared" si="9"/>
        <v>2494.7599999999998</v>
      </c>
      <c r="M33" s="283">
        <f t="shared" si="9"/>
        <v>2495.643</v>
      </c>
      <c r="N33" s="283">
        <f t="shared" si="9"/>
        <v>2437.524</v>
      </c>
      <c r="O33" s="283">
        <f t="shared" si="9"/>
        <v>2483.297</v>
      </c>
      <c r="P33" s="283">
        <f t="shared" si="9"/>
        <v>2455.657</v>
      </c>
      <c r="Q33" s="283">
        <f aca="true" t="shared" si="10" ref="Q33:W33">SUM(Q34:Q37)</f>
        <v>2496.887</v>
      </c>
      <c r="R33" s="283">
        <f t="shared" si="10"/>
        <v>2496.85</v>
      </c>
      <c r="S33" s="283">
        <f t="shared" si="10"/>
        <v>2498.05</v>
      </c>
      <c r="T33" s="283">
        <f t="shared" si="10"/>
        <v>2504.8</v>
      </c>
      <c r="U33" s="283">
        <f t="shared" si="10"/>
        <v>2384.053</v>
      </c>
      <c r="V33" s="283">
        <f t="shared" si="10"/>
        <v>2367.466</v>
      </c>
      <c r="W33" s="283">
        <f t="shared" si="10"/>
        <v>2430</v>
      </c>
      <c r="X33" s="283">
        <f aca="true" t="shared" si="11" ref="X33:AC33">SUM(X34:X37)</f>
        <v>2411.574</v>
      </c>
      <c r="Y33" s="283">
        <f t="shared" si="11"/>
        <v>2421.6040000000003</v>
      </c>
      <c r="Z33" s="283">
        <f t="shared" si="11"/>
        <v>2383.721</v>
      </c>
      <c r="AA33" s="283">
        <f t="shared" si="11"/>
        <v>2391.8889999999997</v>
      </c>
      <c r="AB33" s="283">
        <f t="shared" si="11"/>
        <v>2326.8</v>
      </c>
      <c r="AC33" s="283">
        <f t="shared" si="11"/>
        <v>2431.3</v>
      </c>
    </row>
    <row r="34" spans="2:29" ht="12" customHeight="1">
      <c r="B34" s="20" t="s">
        <v>256</v>
      </c>
      <c r="C34" s="21">
        <f aca="true" t="shared" si="12" ref="C34:L34">C16+C7</f>
        <v>91</v>
      </c>
      <c r="D34" s="21">
        <f t="shared" si="12"/>
        <v>120</v>
      </c>
      <c r="E34" s="21">
        <f t="shared" si="12"/>
        <v>107</v>
      </c>
      <c r="F34" s="21">
        <f t="shared" si="12"/>
        <v>113</v>
      </c>
      <c r="G34" s="21">
        <f t="shared" si="12"/>
        <v>106.937</v>
      </c>
      <c r="H34" s="21">
        <f t="shared" si="12"/>
        <v>106.937</v>
      </c>
      <c r="I34" s="21">
        <f t="shared" si="12"/>
        <v>103</v>
      </c>
      <c r="J34" s="21">
        <f t="shared" si="12"/>
        <v>103.42099999999999</v>
      </c>
      <c r="K34" s="21">
        <f t="shared" si="12"/>
        <v>103.4</v>
      </c>
      <c r="L34" s="21">
        <f t="shared" si="12"/>
        <v>103</v>
      </c>
      <c r="M34" s="21">
        <f aca="true" t="shared" si="13" ref="M34:P36">M16+M7+M25</f>
        <v>93</v>
      </c>
      <c r="N34" s="21">
        <f t="shared" si="13"/>
        <v>93</v>
      </c>
      <c r="O34" s="21">
        <f t="shared" si="13"/>
        <v>93</v>
      </c>
      <c r="P34" s="21">
        <f t="shared" si="13"/>
        <v>91</v>
      </c>
      <c r="Q34" s="21">
        <f aca="true" t="shared" si="14" ref="Q34:R36">Q16+Q7+Q25</f>
        <v>91</v>
      </c>
      <c r="R34" s="21">
        <f t="shared" si="14"/>
        <v>91</v>
      </c>
      <c r="S34" s="21">
        <f aca="true" t="shared" si="15" ref="S34:T36">S16+S7+S25</f>
        <v>91</v>
      </c>
      <c r="T34" s="21">
        <f t="shared" si="15"/>
        <v>91</v>
      </c>
      <c r="U34" s="21">
        <f aca="true" t="shared" si="16" ref="U34:V36">U16+U7+U25</f>
        <v>93</v>
      </c>
      <c r="V34" s="21">
        <f t="shared" si="16"/>
        <v>92.6</v>
      </c>
      <c r="W34" s="21">
        <f aca="true" t="shared" si="17" ref="W34:X36">W16+W7+W25</f>
        <v>93</v>
      </c>
      <c r="X34" s="21">
        <f t="shared" si="17"/>
        <v>92.6</v>
      </c>
      <c r="Y34" s="112">
        <f aca="true" t="shared" si="18" ref="Y34:AB36">Y16+Y7+Y25</f>
        <v>92.6</v>
      </c>
      <c r="Z34" s="112">
        <f t="shared" si="18"/>
        <v>93</v>
      </c>
      <c r="AA34" s="112">
        <f t="shared" si="18"/>
        <v>93</v>
      </c>
      <c r="AB34" s="112">
        <f t="shared" si="18"/>
        <v>93</v>
      </c>
      <c r="AC34" s="112">
        <f>AC7+AC16+AC25</f>
        <v>93</v>
      </c>
    </row>
    <row r="35" spans="2:29" ht="12" customHeight="1">
      <c r="B35" s="268" t="s">
        <v>257</v>
      </c>
      <c r="C35" s="270">
        <f aca="true" t="shared" si="19" ref="C35:L35">C26+C17+C8</f>
        <v>3</v>
      </c>
      <c r="D35" s="270">
        <f t="shared" si="19"/>
        <v>3</v>
      </c>
      <c r="E35" s="270">
        <f t="shared" si="19"/>
        <v>0</v>
      </c>
      <c r="F35" s="270">
        <f t="shared" si="19"/>
        <v>0</v>
      </c>
      <c r="G35" s="270">
        <f t="shared" si="19"/>
        <v>2</v>
      </c>
      <c r="H35" s="270">
        <f t="shared" si="19"/>
        <v>2</v>
      </c>
      <c r="I35" s="270">
        <f t="shared" si="19"/>
        <v>10</v>
      </c>
      <c r="J35" s="270">
        <f t="shared" si="19"/>
        <v>10.224</v>
      </c>
      <c r="K35" s="270">
        <f t="shared" si="19"/>
        <v>10.2</v>
      </c>
      <c r="L35" s="270">
        <f t="shared" si="19"/>
        <v>2</v>
      </c>
      <c r="M35" s="271">
        <f t="shared" si="13"/>
        <v>24.33</v>
      </c>
      <c r="N35" s="271">
        <f t="shared" si="13"/>
        <v>24.33</v>
      </c>
      <c r="O35" s="271">
        <f t="shared" si="13"/>
        <v>24.33</v>
      </c>
      <c r="P35" s="271">
        <f t="shared" si="13"/>
        <v>34.33</v>
      </c>
      <c r="Q35" s="271">
        <f t="shared" si="14"/>
        <v>34.33</v>
      </c>
      <c r="R35" s="271">
        <f t="shared" si="14"/>
        <v>39.33</v>
      </c>
      <c r="S35" s="271">
        <f t="shared" si="15"/>
        <v>57.71</v>
      </c>
      <c r="T35" s="271">
        <f t="shared" si="15"/>
        <v>70.71000000000001</v>
      </c>
      <c r="U35" s="271">
        <f t="shared" si="16"/>
        <v>72</v>
      </c>
      <c r="V35" s="271">
        <f t="shared" si="16"/>
        <v>72</v>
      </c>
      <c r="W35" s="271">
        <f t="shared" si="17"/>
        <v>72</v>
      </c>
      <c r="X35" s="271">
        <f t="shared" si="17"/>
        <v>91</v>
      </c>
      <c r="Y35" s="274">
        <f t="shared" si="18"/>
        <v>91.3</v>
      </c>
      <c r="Z35" s="274">
        <f t="shared" si="18"/>
        <v>127</v>
      </c>
      <c r="AA35" s="274">
        <f t="shared" si="18"/>
        <v>119.957</v>
      </c>
      <c r="AB35" s="274">
        <f t="shared" si="18"/>
        <v>125.5</v>
      </c>
      <c r="AC35" s="274">
        <f>AC8+AC17+AC26</f>
        <v>123</v>
      </c>
    </row>
    <row r="36" spans="2:29" ht="12" customHeight="1">
      <c r="B36" s="20" t="s">
        <v>1794</v>
      </c>
      <c r="C36" s="3">
        <f aca="true" t="shared" si="20" ref="C36:L36">C27+C18+C9</f>
        <v>28</v>
      </c>
      <c r="D36" s="3">
        <f t="shared" si="20"/>
        <v>22</v>
      </c>
      <c r="E36" s="3">
        <f t="shared" si="20"/>
        <v>24</v>
      </c>
      <c r="F36" s="3">
        <f t="shared" si="20"/>
        <v>28</v>
      </c>
      <c r="G36" s="3">
        <f t="shared" si="20"/>
        <v>18.224</v>
      </c>
      <c r="H36" s="3">
        <f t="shared" si="20"/>
        <v>18.224</v>
      </c>
      <c r="I36" s="3">
        <f t="shared" si="20"/>
        <v>10</v>
      </c>
      <c r="J36" s="3">
        <f t="shared" si="20"/>
        <v>10</v>
      </c>
      <c r="K36" s="3">
        <f t="shared" si="20"/>
        <v>10</v>
      </c>
      <c r="L36" s="3">
        <f t="shared" si="20"/>
        <v>18.2</v>
      </c>
      <c r="M36" s="21">
        <f t="shared" si="13"/>
        <v>10</v>
      </c>
      <c r="N36" s="21">
        <f t="shared" si="13"/>
        <v>13.61</v>
      </c>
      <c r="O36" s="21">
        <f t="shared" si="13"/>
        <v>15.61</v>
      </c>
      <c r="P36" s="21">
        <f t="shared" si="13"/>
        <v>15.415999999999999</v>
      </c>
      <c r="Q36" s="21">
        <f t="shared" si="14"/>
        <v>15.82</v>
      </c>
      <c r="R36" s="21">
        <f t="shared" si="14"/>
        <v>20.92</v>
      </c>
      <c r="S36" s="21">
        <f t="shared" si="15"/>
        <v>20.92</v>
      </c>
      <c r="T36" s="21">
        <f t="shared" si="15"/>
        <v>20.92</v>
      </c>
      <c r="U36" s="21">
        <f t="shared" si="16"/>
        <v>18.316000000000003</v>
      </c>
      <c r="V36" s="21">
        <f t="shared" si="16"/>
        <v>18.716</v>
      </c>
      <c r="W36" s="21">
        <f t="shared" si="17"/>
        <v>22</v>
      </c>
      <c r="X36" s="21">
        <f t="shared" si="17"/>
        <v>19.974</v>
      </c>
      <c r="Y36" s="112">
        <f t="shared" si="18"/>
        <v>21.404</v>
      </c>
      <c r="Z36" s="112">
        <f t="shared" si="18"/>
        <v>20.594</v>
      </c>
      <c r="AA36" s="112">
        <f t="shared" si="18"/>
        <v>30.424</v>
      </c>
      <c r="AB36" s="112">
        <f t="shared" si="18"/>
        <v>30.400000000000002</v>
      </c>
      <c r="AC36" s="112">
        <f>AC9+AC18+AC27</f>
        <v>32.4</v>
      </c>
    </row>
    <row r="37" spans="2:29" ht="12" customHeight="1">
      <c r="B37" s="268" t="s">
        <v>258</v>
      </c>
      <c r="C37" s="271">
        <f>SUM(C38:C40)</f>
        <v>2293</v>
      </c>
      <c r="D37" s="271">
        <f>SUM(D38:D40)</f>
        <v>2291</v>
      </c>
      <c r="E37" s="271">
        <f>SUM(E38:E40)</f>
        <v>2322</v>
      </c>
      <c r="F37" s="271">
        <f>SUM(F38:F40)</f>
        <v>2332</v>
      </c>
      <c r="G37" s="271">
        <f>SUM(G38:G40)</f>
        <v>2351.998</v>
      </c>
      <c r="H37" s="271">
        <f aca="true" t="shared" si="21" ref="H37:P37">H10+H19+H28</f>
        <v>2408.527</v>
      </c>
      <c r="I37" s="271">
        <f t="shared" si="21"/>
        <v>2407</v>
      </c>
      <c r="J37" s="271">
        <f t="shared" si="21"/>
        <v>2386.183</v>
      </c>
      <c r="K37" s="271">
        <f t="shared" si="21"/>
        <v>2385.8</v>
      </c>
      <c r="L37" s="271">
        <f t="shared" si="21"/>
        <v>2371.56</v>
      </c>
      <c r="M37" s="271">
        <f t="shared" si="21"/>
        <v>2368.313</v>
      </c>
      <c r="N37" s="271">
        <f t="shared" si="21"/>
        <v>2306.584</v>
      </c>
      <c r="O37" s="271">
        <f t="shared" si="21"/>
        <v>2350.357</v>
      </c>
      <c r="P37" s="271">
        <f t="shared" si="21"/>
        <v>2314.911</v>
      </c>
      <c r="Q37" s="271">
        <f aca="true" t="shared" si="22" ref="Q37:V37">Q10+Q19+Q28</f>
        <v>2355.737</v>
      </c>
      <c r="R37" s="271">
        <f t="shared" si="22"/>
        <v>2345.6</v>
      </c>
      <c r="S37" s="271">
        <f t="shared" si="22"/>
        <v>2328.42</v>
      </c>
      <c r="T37" s="271">
        <f t="shared" si="22"/>
        <v>2322.17</v>
      </c>
      <c r="U37" s="271">
        <f t="shared" si="22"/>
        <v>2200.737</v>
      </c>
      <c r="V37" s="271">
        <f t="shared" si="22"/>
        <v>2184.15</v>
      </c>
      <c r="W37" s="271">
        <f aca="true" t="shared" si="23" ref="W37:AB37">W10+W19+W28</f>
        <v>2243</v>
      </c>
      <c r="X37" s="271">
        <f t="shared" si="23"/>
        <v>2208</v>
      </c>
      <c r="Y37" s="274">
        <f t="shared" si="23"/>
        <v>2216.3</v>
      </c>
      <c r="Z37" s="274">
        <f t="shared" si="23"/>
        <v>2143.127</v>
      </c>
      <c r="AA37" s="274">
        <f t="shared" si="23"/>
        <v>2148.508</v>
      </c>
      <c r="AB37" s="274">
        <f t="shared" si="23"/>
        <v>2077.9</v>
      </c>
      <c r="AC37" s="274">
        <f>AC10+AC19+AC28</f>
        <v>2182.9</v>
      </c>
    </row>
    <row r="38" spans="2:22" ht="12" customHeight="1" hidden="1">
      <c r="B38" s="22" t="s">
        <v>259</v>
      </c>
      <c r="C38" s="24">
        <f aca="true" t="shared" si="24" ref="C38:L38">C29+C20+C11</f>
        <v>415</v>
      </c>
      <c r="D38" s="24">
        <f t="shared" si="24"/>
        <v>497</v>
      </c>
      <c r="E38" s="24">
        <f t="shared" si="24"/>
        <v>495</v>
      </c>
      <c r="F38" s="24">
        <f t="shared" si="24"/>
        <v>514</v>
      </c>
      <c r="G38" s="24">
        <f t="shared" si="24"/>
        <v>514.391</v>
      </c>
      <c r="H38" s="24">
        <f t="shared" si="24"/>
        <v>511.391</v>
      </c>
      <c r="I38" s="24">
        <f t="shared" si="24"/>
        <v>478</v>
      </c>
      <c r="J38" s="24">
        <f t="shared" si="24"/>
        <v>470.793</v>
      </c>
      <c r="K38" s="24">
        <f t="shared" si="24"/>
        <v>467.8</v>
      </c>
      <c r="L38" s="24">
        <f t="shared" si="24"/>
        <v>828.3</v>
      </c>
      <c r="M38" s="79">
        <f aca="true" t="shared" si="25" ref="M38:P40">M20+M11+M29</f>
        <v>828.004</v>
      </c>
      <c r="N38" s="79">
        <f t="shared" si="25"/>
        <v>831.554</v>
      </c>
      <c r="O38" s="79">
        <f t="shared" si="25"/>
        <v>710.5740000000001</v>
      </c>
      <c r="P38" s="79">
        <f t="shared" si="25"/>
        <v>442.317</v>
      </c>
      <c r="S38" s="122"/>
      <c r="T38" s="122"/>
      <c r="U38" s="122"/>
      <c r="V38" s="122"/>
    </row>
    <row r="39" spans="2:22" ht="12" customHeight="1" hidden="1">
      <c r="B39" s="22" t="s">
        <v>260</v>
      </c>
      <c r="C39" s="24">
        <f aca="true" t="shared" si="26" ref="C39:L39">C30+C21+C12</f>
        <v>1565</v>
      </c>
      <c r="D39" s="24">
        <f t="shared" si="26"/>
        <v>1207</v>
      </c>
      <c r="E39" s="24">
        <f t="shared" si="26"/>
        <v>1207</v>
      </c>
      <c r="F39" s="24">
        <f t="shared" si="26"/>
        <v>1537</v>
      </c>
      <c r="G39" s="24">
        <f t="shared" si="26"/>
        <v>1084.421</v>
      </c>
      <c r="H39" s="24">
        <f t="shared" si="26"/>
        <v>1085.421</v>
      </c>
      <c r="I39" s="24">
        <f t="shared" si="26"/>
        <v>1101</v>
      </c>
      <c r="J39" s="24">
        <f t="shared" si="26"/>
        <v>1085.5810000000001</v>
      </c>
      <c r="K39" s="24">
        <f t="shared" si="26"/>
        <v>1085.1</v>
      </c>
      <c r="L39" s="24">
        <f t="shared" si="26"/>
        <v>724.2</v>
      </c>
      <c r="M39" s="79">
        <f t="shared" si="25"/>
        <v>723.5029999999999</v>
      </c>
      <c r="N39" s="79">
        <f t="shared" si="25"/>
        <v>668.885</v>
      </c>
      <c r="O39" s="79">
        <f t="shared" si="25"/>
        <v>1280.71</v>
      </c>
      <c r="P39" s="79">
        <f t="shared" si="25"/>
        <v>855.6990000000001</v>
      </c>
      <c r="S39" s="122"/>
      <c r="T39" s="122"/>
      <c r="U39" s="122"/>
      <c r="V39" s="122"/>
    </row>
    <row r="40" spans="2:22" ht="12" customHeight="1" hidden="1">
      <c r="B40" s="22" t="s">
        <v>261</v>
      </c>
      <c r="C40" s="24">
        <f aca="true" t="shared" si="27" ref="C40:L40">C31+C22+C13</f>
        <v>313</v>
      </c>
      <c r="D40" s="24">
        <f t="shared" si="27"/>
        <v>587</v>
      </c>
      <c r="E40" s="24">
        <f t="shared" si="27"/>
        <v>620</v>
      </c>
      <c r="F40" s="24">
        <f t="shared" si="27"/>
        <v>281</v>
      </c>
      <c r="G40" s="24">
        <f t="shared" si="27"/>
        <v>753.186</v>
      </c>
      <c r="H40" s="24">
        <f t="shared" si="27"/>
        <v>811.715</v>
      </c>
      <c r="I40" s="24">
        <f t="shared" si="27"/>
        <v>828</v>
      </c>
      <c r="J40" s="24">
        <f t="shared" si="27"/>
        <v>829.809</v>
      </c>
      <c r="K40" s="24">
        <f t="shared" si="27"/>
        <v>832.9</v>
      </c>
      <c r="L40" s="24">
        <f t="shared" si="27"/>
        <v>819.06</v>
      </c>
      <c r="M40" s="79">
        <f t="shared" si="25"/>
        <v>824.059</v>
      </c>
      <c r="N40" s="79">
        <f t="shared" si="25"/>
        <v>792.67</v>
      </c>
      <c r="O40" s="79">
        <f t="shared" si="25"/>
        <v>355.174</v>
      </c>
      <c r="P40" s="79">
        <f t="shared" si="25"/>
        <v>304.726</v>
      </c>
      <c r="S40" s="122"/>
      <c r="T40" s="122"/>
      <c r="U40" s="122"/>
      <c r="V40" s="122"/>
    </row>
    <row r="41" spans="2:29" ht="12" customHeight="1">
      <c r="B41" s="55"/>
      <c r="C41" s="47"/>
      <c r="D41" s="47"/>
      <c r="E41" s="47"/>
      <c r="F41" s="48"/>
      <c r="G41" s="48"/>
      <c r="H41" s="48"/>
      <c r="I41" s="35"/>
      <c r="J41" s="35"/>
      <c r="K41" s="35"/>
      <c r="L41" s="65"/>
      <c r="M41" s="34"/>
      <c r="N41" s="103"/>
      <c r="O41" s="103"/>
      <c r="P41" s="103"/>
      <c r="Q41" s="124"/>
      <c r="R41" s="124"/>
      <c r="S41" s="124"/>
      <c r="T41" s="124"/>
      <c r="U41" s="124"/>
      <c r="V41" s="124"/>
      <c r="W41" s="96"/>
      <c r="X41" s="96"/>
      <c r="Y41" s="96"/>
      <c r="Z41" s="96"/>
      <c r="AA41" s="96"/>
      <c r="AB41" s="96"/>
      <c r="AC41" s="96"/>
    </row>
    <row r="42" spans="2:12" ht="12" customHeight="1">
      <c r="B42" s="188" t="s">
        <v>1782</v>
      </c>
      <c r="C42" s="51"/>
      <c r="D42" s="51"/>
      <c r="E42" s="51"/>
      <c r="F42" s="52"/>
      <c r="G42" s="52"/>
      <c r="H42" s="52"/>
      <c r="I42" s="4"/>
      <c r="J42" s="4"/>
      <c r="K42" s="4"/>
      <c r="L42" s="58"/>
    </row>
    <row r="43" spans="2:16" ht="12" customHeight="1">
      <c r="B43" s="188" t="s">
        <v>462</v>
      </c>
      <c r="C43" s="190"/>
      <c r="D43" s="190"/>
      <c r="E43" s="190"/>
      <c r="F43" s="191"/>
      <c r="G43" s="191"/>
      <c r="H43" s="191"/>
      <c r="I43" s="187"/>
      <c r="J43" s="187"/>
      <c r="K43" s="187"/>
      <c r="L43" s="192"/>
      <c r="M43" s="193"/>
      <c r="N43" s="188"/>
      <c r="O43" s="188"/>
      <c r="P43" s="188"/>
    </row>
    <row r="44" spans="2:31" ht="12" customHeight="1">
      <c r="B44" s="188" t="s">
        <v>1793</v>
      </c>
      <c r="C44" s="190"/>
      <c r="D44" s="190"/>
      <c r="E44" s="190"/>
      <c r="F44" s="191"/>
      <c r="G44" s="191"/>
      <c r="H44" s="191"/>
      <c r="I44" s="187"/>
      <c r="J44" s="187"/>
      <c r="K44" s="187"/>
      <c r="L44" s="192"/>
      <c r="M44" s="193"/>
      <c r="N44" s="188"/>
      <c r="O44" s="188"/>
      <c r="P44" s="188"/>
      <c r="AC44" s="221"/>
      <c r="AD44" s="221"/>
      <c r="AE44" s="221"/>
    </row>
    <row r="45" spans="2:31" ht="12" customHeight="1">
      <c r="B45" s="67" t="s">
        <v>120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AC45" s="221"/>
      <c r="AD45" s="221"/>
      <c r="AE45" s="221"/>
    </row>
    <row r="46" spans="2:31" ht="12" customHeight="1">
      <c r="B46" s="20"/>
      <c r="C46" s="21"/>
      <c r="D46" s="21"/>
      <c r="E46" s="21"/>
      <c r="F46" s="21"/>
      <c r="G46" s="21"/>
      <c r="H46" s="21"/>
      <c r="I46" s="4"/>
      <c r="J46" s="4"/>
      <c r="K46" s="4"/>
      <c r="L46" s="58"/>
      <c r="AC46" s="221"/>
      <c r="AD46" s="221"/>
      <c r="AE46" s="221"/>
    </row>
    <row r="47" ht="12" customHeight="1">
      <c r="M47" s="36"/>
    </row>
    <row r="50" ht="12" customHeight="1">
      <c r="M50" s="86"/>
    </row>
    <row r="92" ht="12" customHeight="1">
      <c r="M92" s="36"/>
    </row>
    <row r="93" ht="12" customHeight="1">
      <c r="M93" s="36"/>
    </row>
    <row r="95" ht="12" customHeight="1">
      <c r="M95" s="86"/>
    </row>
    <row r="138" ht="12" customHeight="1">
      <c r="M138" s="36"/>
    </row>
    <row r="139" ht="12" customHeight="1">
      <c r="M139" s="36"/>
    </row>
    <row r="141" ht="12" customHeight="1">
      <c r="M141" s="86"/>
    </row>
    <row r="184" ht="12" customHeight="1">
      <c r="M184" s="36"/>
    </row>
    <row r="187" ht="12" customHeight="1">
      <c r="M187" s="86"/>
    </row>
    <row r="813" spans="3:4" ht="12" customHeight="1">
      <c r="C813" s="254"/>
      <c r="D813" s="254"/>
    </row>
  </sheetData>
  <sheetProtection/>
  <printOptions/>
  <pageMargins left="0.5905511811023623" right="0.3937007874015748" top="0.5511811023622047" bottom="0" header="0" footer="0"/>
  <pageSetup fitToHeight="1" fitToWidth="1" horizontalDpi="600" verticalDpi="600" orientation="landscape" paperSize="9" scale="83" r:id="rId1"/>
  <ignoredErrors>
    <ignoredError sqref="M6:W26 M28:W36 M27:V27" formulaRange="1"/>
    <ignoredError sqref="M37:W37" formula="1" formulaRange="1"/>
    <ignoredError sqref="M38:W4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3"/>
  <sheetViews>
    <sheetView showGridLines="0" zoomScalePageLayoutView="0" workbookViewId="0" topLeftCell="A1">
      <selection activeCell="D16" sqref="D16"/>
    </sheetView>
  </sheetViews>
  <sheetFormatPr defaultColWidth="19.4453125" defaultRowHeight="12" customHeight="1"/>
  <cols>
    <col min="1" max="1" width="20.21484375" style="0" customWidth="1"/>
    <col min="2" max="7" width="6.77734375" style="0" hidden="1" customWidth="1"/>
    <col min="8" max="8" width="5.88671875" style="0" hidden="1" customWidth="1"/>
    <col min="9" max="11" width="6.77734375" style="0" hidden="1" customWidth="1"/>
    <col min="12" max="12" width="6.77734375" style="21" hidden="1" customWidth="1"/>
    <col min="13" max="13" width="6.77734375" style="67" customWidth="1"/>
    <col min="14" max="16" width="6.77734375" style="0" customWidth="1"/>
    <col min="17" max="17" width="6.77734375" style="122" customWidth="1"/>
    <col min="18" max="19" width="6.77734375" style="0" customWidth="1"/>
    <col min="20" max="25" width="6.99609375" style="0" customWidth="1"/>
    <col min="26" max="28" width="6.88671875" style="0" customWidth="1"/>
  </cols>
  <sheetData>
    <row r="1" spans="1:11" ht="15" customHeight="1">
      <c r="A1" s="1" t="s">
        <v>1834</v>
      </c>
      <c r="B1" s="2"/>
      <c r="C1" s="2"/>
      <c r="D1" s="2"/>
      <c r="E1" s="21"/>
      <c r="F1" s="21"/>
      <c r="G1" s="37"/>
      <c r="H1" s="4"/>
      <c r="I1" s="4"/>
      <c r="J1" s="4"/>
      <c r="K1" s="58"/>
    </row>
    <row r="2" spans="1:12" ht="12" customHeight="1">
      <c r="A2" s="1"/>
      <c r="B2" s="6"/>
      <c r="C2" s="6"/>
      <c r="D2" s="6"/>
      <c r="E2" s="36"/>
      <c r="F2" s="36"/>
      <c r="G2" s="36"/>
      <c r="H2" s="8"/>
      <c r="I2" s="8"/>
      <c r="J2" s="8"/>
      <c r="K2" s="59"/>
      <c r="L2" s="36"/>
    </row>
    <row r="3" spans="1:28" ht="12" customHeight="1">
      <c r="A3" s="18"/>
      <c r="B3" s="11" t="s">
        <v>1768</v>
      </c>
      <c r="C3" s="11"/>
      <c r="D3" s="11"/>
      <c r="E3" s="11"/>
      <c r="F3" s="11"/>
      <c r="G3" s="12"/>
      <c r="H3" s="39"/>
      <c r="I3" s="39"/>
      <c r="J3" s="10"/>
      <c r="K3" s="85"/>
      <c r="M3" s="87"/>
      <c r="N3" s="87"/>
      <c r="Q3" s="87"/>
      <c r="R3" s="87"/>
      <c r="T3" s="87"/>
      <c r="V3" s="87"/>
      <c r="W3" s="87"/>
      <c r="Y3" s="87"/>
      <c r="Z3" s="87"/>
      <c r="AA3" s="87"/>
      <c r="AB3" s="87" t="s">
        <v>252</v>
      </c>
    </row>
    <row r="4" spans="1:28" ht="18" customHeight="1">
      <c r="A4" s="258" t="s">
        <v>254</v>
      </c>
      <c r="B4" s="259" t="s">
        <v>1769</v>
      </c>
      <c r="C4" s="259">
        <v>1991</v>
      </c>
      <c r="D4" s="259">
        <v>1992</v>
      </c>
      <c r="E4" s="260">
        <v>1993</v>
      </c>
      <c r="F4" s="259">
        <v>1994</v>
      </c>
      <c r="G4" s="260">
        <v>1995</v>
      </c>
      <c r="H4" s="260">
        <v>1996</v>
      </c>
      <c r="I4" s="260">
        <v>1997</v>
      </c>
      <c r="J4" s="260">
        <v>1998</v>
      </c>
      <c r="K4" s="261">
        <v>1999</v>
      </c>
      <c r="L4" s="262">
        <v>2000</v>
      </c>
      <c r="M4" s="291">
        <v>2001</v>
      </c>
      <c r="N4" s="291">
        <v>2002</v>
      </c>
      <c r="O4" s="291">
        <v>2003</v>
      </c>
      <c r="P4" s="291">
        <v>2004</v>
      </c>
      <c r="Q4" s="291">
        <v>2005</v>
      </c>
      <c r="R4" s="291">
        <v>2006</v>
      </c>
      <c r="S4" s="291">
        <v>2007</v>
      </c>
      <c r="T4" s="291">
        <v>2008</v>
      </c>
      <c r="U4" s="291">
        <v>2009</v>
      </c>
      <c r="V4" s="291">
        <v>2010</v>
      </c>
      <c r="W4" s="291">
        <v>2011</v>
      </c>
      <c r="X4" s="291">
        <v>2012</v>
      </c>
      <c r="Y4" s="291">
        <v>2013</v>
      </c>
      <c r="Z4" s="291">
        <v>2014</v>
      </c>
      <c r="AA4" s="291">
        <v>2015</v>
      </c>
      <c r="AB4" s="291">
        <v>2016</v>
      </c>
    </row>
    <row r="5" spans="1:19" ht="12" customHeight="1">
      <c r="A5" s="15"/>
      <c r="B5" s="2" t="s">
        <v>1770</v>
      </c>
      <c r="C5" s="2"/>
      <c r="D5" s="2"/>
      <c r="E5" s="21"/>
      <c r="F5" s="21"/>
      <c r="G5" s="21"/>
      <c r="H5" s="21"/>
      <c r="I5" s="21"/>
      <c r="J5" s="21"/>
      <c r="K5" s="58"/>
      <c r="R5" s="122"/>
      <c r="S5" s="122"/>
    </row>
    <row r="6" spans="1:28" ht="12" customHeight="1">
      <c r="A6" s="264" t="s">
        <v>255</v>
      </c>
      <c r="B6" s="298" t="s">
        <v>1771</v>
      </c>
      <c r="C6" s="298">
        <f aca="true" t="shared" si="0" ref="C6:Q6">SUM(C7:C10)</f>
        <v>1324</v>
      </c>
      <c r="D6" s="298">
        <f t="shared" si="0"/>
        <v>1330</v>
      </c>
      <c r="E6" s="298">
        <f t="shared" si="0"/>
        <v>1343</v>
      </c>
      <c r="F6" s="298">
        <f t="shared" si="0"/>
        <v>1345.618</v>
      </c>
      <c r="G6" s="298">
        <f t="shared" si="0"/>
        <v>1345.618</v>
      </c>
      <c r="H6" s="298">
        <f t="shared" si="0"/>
        <v>1350</v>
      </c>
      <c r="I6" s="298">
        <f t="shared" si="0"/>
        <v>1346.666</v>
      </c>
      <c r="J6" s="298">
        <f t="shared" si="0"/>
        <v>1352.6000000000001</v>
      </c>
      <c r="K6" s="298">
        <f t="shared" si="0"/>
        <v>1351.68</v>
      </c>
      <c r="L6" s="298">
        <f t="shared" si="0"/>
        <v>1352.639</v>
      </c>
      <c r="M6" s="298">
        <f t="shared" si="0"/>
        <v>1358.602</v>
      </c>
      <c r="N6" s="298">
        <f t="shared" si="0"/>
        <v>1402.45</v>
      </c>
      <c r="O6" s="298">
        <f t="shared" si="0"/>
        <v>1410.45</v>
      </c>
      <c r="P6" s="298">
        <f t="shared" si="0"/>
        <v>1484.45</v>
      </c>
      <c r="Q6" s="298">
        <f t="shared" si="0"/>
        <v>1470.51</v>
      </c>
      <c r="R6" s="298">
        <f aca="true" t="shared" si="1" ref="R6:W6">SUM(R7:R10)</f>
        <v>1483.89</v>
      </c>
      <c r="S6" s="298">
        <f t="shared" si="1"/>
        <v>1479.1100000000001</v>
      </c>
      <c r="T6" s="298">
        <f t="shared" si="1"/>
        <v>1603.92</v>
      </c>
      <c r="U6" s="298">
        <f t="shared" si="1"/>
        <v>1405.74</v>
      </c>
      <c r="V6" s="298">
        <f t="shared" si="1"/>
        <v>1558.45</v>
      </c>
      <c r="W6" s="298">
        <f t="shared" si="1"/>
        <v>1540.45</v>
      </c>
      <c r="X6" s="298">
        <f>SUM(X7:X10)</f>
        <v>1542.95</v>
      </c>
      <c r="Y6" s="298">
        <f>SUM(Y7:Y10)</f>
        <v>1567</v>
      </c>
      <c r="Z6" s="298">
        <f>SUM(Z7:Z10)</f>
        <v>1556.7240000000002</v>
      </c>
      <c r="AA6" s="298">
        <f>SUM(AA7:AA10)</f>
        <v>1557.1000000000001</v>
      </c>
      <c r="AB6" s="298">
        <f>SUM(AB7:AB10)</f>
        <v>1556.7</v>
      </c>
    </row>
    <row r="7" spans="1:28" ht="12" customHeight="1">
      <c r="A7" s="20" t="s">
        <v>300</v>
      </c>
      <c r="B7" s="28" t="s">
        <v>1772</v>
      </c>
      <c r="C7" s="28">
        <v>0</v>
      </c>
      <c r="D7" s="2">
        <v>5</v>
      </c>
      <c r="E7" s="3">
        <v>5</v>
      </c>
      <c r="F7" s="3">
        <v>4.664</v>
      </c>
      <c r="G7" s="3">
        <v>4.664</v>
      </c>
      <c r="H7" s="21">
        <v>5</v>
      </c>
      <c r="I7" s="21">
        <v>5.163</v>
      </c>
      <c r="J7" s="21">
        <v>5.2</v>
      </c>
      <c r="K7" s="58">
        <v>4.7</v>
      </c>
      <c r="L7" s="21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119">
        <v>0</v>
      </c>
      <c r="W7" s="11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</row>
    <row r="8" spans="1:28" ht="12" customHeight="1">
      <c r="A8" s="268" t="s">
        <v>301</v>
      </c>
      <c r="B8" s="304" t="s">
        <v>1773</v>
      </c>
      <c r="C8" s="304">
        <v>0</v>
      </c>
      <c r="D8" s="304">
        <v>0</v>
      </c>
      <c r="E8" s="304">
        <v>0</v>
      </c>
      <c r="F8" s="304">
        <v>0</v>
      </c>
      <c r="G8" s="304">
        <v>0</v>
      </c>
      <c r="H8" s="304">
        <v>0</v>
      </c>
      <c r="I8" s="304">
        <v>0</v>
      </c>
      <c r="J8" s="304">
        <v>0</v>
      </c>
      <c r="K8" s="304">
        <v>0</v>
      </c>
      <c r="L8" s="300">
        <v>4.365</v>
      </c>
      <c r="M8" s="300">
        <v>4.365</v>
      </c>
      <c r="N8" s="300">
        <v>6.45</v>
      </c>
      <c r="O8" s="300">
        <v>6.45</v>
      </c>
      <c r="P8" s="300">
        <v>6.45</v>
      </c>
      <c r="Q8" s="300">
        <v>6.45</v>
      </c>
      <c r="R8" s="300">
        <v>6.45</v>
      </c>
      <c r="S8" s="300">
        <v>6.45</v>
      </c>
      <c r="T8" s="300">
        <v>6.45</v>
      </c>
      <c r="U8" s="300">
        <v>6.45</v>
      </c>
      <c r="V8" s="300">
        <v>6.45</v>
      </c>
      <c r="W8" s="300">
        <v>6.45</v>
      </c>
      <c r="X8" s="300">
        <v>6.45</v>
      </c>
      <c r="Y8" s="300">
        <v>23</v>
      </c>
      <c r="Z8" s="300">
        <v>28.38</v>
      </c>
      <c r="AA8" s="300">
        <v>28.4</v>
      </c>
      <c r="AB8" s="300">
        <v>28.4</v>
      </c>
    </row>
    <row r="9" spans="1:28" ht="12" customHeight="1">
      <c r="A9" s="20" t="s">
        <v>1794</v>
      </c>
      <c r="B9" s="28" t="s">
        <v>1774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1">
        <v>0</v>
      </c>
      <c r="M9" s="89">
        <v>0</v>
      </c>
      <c r="N9" s="89">
        <v>0</v>
      </c>
      <c r="O9" s="89">
        <v>0</v>
      </c>
      <c r="P9" s="89">
        <v>0</v>
      </c>
      <c r="Q9" s="119">
        <v>0</v>
      </c>
      <c r="R9" s="119">
        <v>0</v>
      </c>
      <c r="S9" s="119">
        <v>0</v>
      </c>
      <c r="T9" s="122">
        <v>0</v>
      </c>
      <c r="U9" s="122">
        <v>0</v>
      </c>
      <c r="V9" s="119">
        <v>0</v>
      </c>
      <c r="W9" s="11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</row>
    <row r="10" spans="1:28" ht="12" customHeight="1">
      <c r="A10" s="268" t="s">
        <v>258</v>
      </c>
      <c r="B10" s="271">
        <f aca="true" t="shared" si="2" ref="B10:M10">SUM(B11:B13)</f>
        <v>1324</v>
      </c>
      <c r="C10" s="271">
        <f t="shared" si="2"/>
        <v>1324</v>
      </c>
      <c r="D10" s="271">
        <f t="shared" si="2"/>
        <v>1325</v>
      </c>
      <c r="E10" s="271">
        <f t="shared" si="2"/>
        <v>1338</v>
      </c>
      <c r="F10" s="271">
        <f t="shared" si="2"/>
        <v>1340.954</v>
      </c>
      <c r="G10" s="271">
        <f t="shared" si="2"/>
        <v>1340.954</v>
      </c>
      <c r="H10" s="271">
        <f t="shared" si="2"/>
        <v>1345</v>
      </c>
      <c r="I10" s="271">
        <f t="shared" si="2"/>
        <v>1341.503</v>
      </c>
      <c r="J10" s="271">
        <f t="shared" si="2"/>
        <v>1347.4</v>
      </c>
      <c r="K10" s="271">
        <f t="shared" si="2"/>
        <v>1346.98</v>
      </c>
      <c r="L10" s="271">
        <f t="shared" si="2"/>
        <v>1348.274</v>
      </c>
      <c r="M10" s="271">
        <f t="shared" si="2"/>
        <v>1354.237</v>
      </c>
      <c r="N10" s="271">
        <v>1396</v>
      </c>
      <c r="O10" s="271">
        <v>1404</v>
      </c>
      <c r="P10" s="271">
        <v>1478</v>
      </c>
      <c r="Q10" s="271">
        <v>1464.06</v>
      </c>
      <c r="R10" s="271">
        <v>1477.44</v>
      </c>
      <c r="S10" s="271">
        <v>1472.66</v>
      </c>
      <c r="T10" s="308">
        <v>1597.47</v>
      </c>
      <c r="U10" s="308">
        <v>1399.29</v>
      </c>
      <c r="V10" s="308">
        <v>1552</v>
      </c>
      <c r="W10" s="308">
        <v>1534</v>
      </c>
      <c r="X10" s="300">
        <v>1536.5</v>
      </c>
      <c r="Y10" s="300">
        <v>1544</v>
      </c>
      <c r="Z10" s="300">
        <v>1528.344</v>
      </c>
      <c r="AA10" s="300">
        <v>1528.7</v>
      </c>
      <c r="AB10" s="300">
        <v>1528.3</v>
      </c>
    </row>
    <row r="11" spans="1:28" ht="9.75" customHeight="1" hidden="1">
      <c r="A11" s="22" t="s">
        <v>259</v>
      </c>
      <c r="B11" s="23">
        <v>143</v>
      </c>
      <c r="C11" s="23">
        <v>142</v>
      </c>
      <c r="D11" s="23">
        <v>127</v>
      </c>
      <c r="E11" s="24">
        <v>127</v>
      </c>
      <c r="F11" s="24">
        <v>126.77</v>
      </c>
      <c r="G11" s="24">
        <v>126.77</v>
      </c>
      <c r="H11" s="25">
        <v>126</v>
      </c>
      <c r="I11" s="25">
        <v>125.895</v>
      </c>
      <c r="J11" s="25">
        <v>125.9</v>
      </c>
      <c r="K11" s="62">
        <v>628.98</v>
      </c>
      <c r="L11" s="79">
        <v>477.32</v>
      </c>
      <c r="M11" s="95">
        <f>474.952</f>
        <v>474.952</v>
      </c>
      <c r="N11" s="95">
        <v>474.464</v>
      </c>
      <c r="O11" s="95">
        <f>475.393</f>
        <v>475.393</v>
      </c>
      <c r="P11" s="95">
        <f>498.598</f>
        <v>498.598</v>
      </c>
      <c r="Q11" s="95">
        <f>491.333</f>
        <v>491.333</v>
      </c>
      <c r="R11" s="95">
        <v>491</v>
      </c>
      <c r="S11" s="95">
        <v>491</v>
      </c>
      <c r="T11" s="135">
        <v>486</v>
      </c>
      <c r="U11" s="135"/>
      <c r="X11" s="174"/>
      <c r="Y11" s="174"/>
      <c r="Z11" s="174"/>
      <c r="AA11" s="174"/>
      <c r="AB11" s="174"/>
    </row>
    <row r="12" spans="1:28" ht="12" customHeight="1" hidden="1">
      <c r="A12" s="22" t="s">
        <v>260</v>
      </c>
      <c r="B12" s="23">
        <v>940</v>
      </c>
      <c r="C12" s="23">
        <v>704</v>
      </c>
      <c r="D12" s="23">
        <v>722</v>
      </c>
      <c r="E12" s="24">
        <v>1211</v>
      </c>
      <c r="F12" s="24">
        <v>716.715</v>
      </c>
      <c r="G12" s="24">
        <v>716.715</v>
      </c>
      <c r="H12" s="25">
        <v>703</v>
      </c>
      <c r="I12" s="25">
        <v>701.242</v>
      </c>
      <c r="J12" s="25">
        <v>697.9</v>
      </c>
      <c r="K12" s="62">
        <f>193.8</f>
        <v>193.8</v>
      </c>
      <c r="L12" s="79">
        <v>121.44</v>
      </c>
      <c r="M12" s="95">
        <f>122.031</f>
        <v>122.031</v>
      </c>
      <c r="N12" s="95">
        <f>8.45+886.834</f>
        <v>895.284</v>
      </c>
      <c r="O12" s="95">
        <f>8.45+892.053</f>
        <v>900.503</v>
      </c>
      <c r="P12" s="95">
        <f>14.9+935.597</f>
        <v>950.497</v>
      </c>
      <c r="Q12" s="95">
        <f>13.971+919.909</f>
        <v>933.88</v>
      </c>
      <c r="R12" s="95">
        <v>944</v>
      </c>
      <c r="S12" s="95">
        <v>958</v>
      </c>
      <c r="T12" s="135">
        <v>958</v>
      </c>
      <c r="U12" s="135"/>
      <c r="X12" s="174"/>
      <c r="Y12" s="174"/>
      <c r="Z12" s="174"/>
      <c r="AA12" s="174"/>
      <c r="AB12" s="174"/>
    </row>
    <row r="13" spans="1:28" ht="12" customHeight="1" hidden="1">
      <c r="A13" s="22" t="s">
        <v>261</v>
      </c>
      <c r="B13" s="23">
        <v>241</v>
      </c>
      <c r="C13" s="23">
        <v>478</v>
      </c>
      <c r="D13" s="23">
        <v>476</v>
      </c>
      <c r="E13" s="41">
        <v>0</v>
      </c>
      <c r="F13" s="41">
        <v>497.469</v>
      </c>
      <c r="G13" s="41">
        <v>497.469</v>
      </c>
      <c r="H13" s="25">
        <v>516</v>
      </c>
      <c r="I13" s="25">
        <f>506.374+7.992</f>
        <v>514.366</v>
      </c>
      <c r="J13" s="25">
        <f>8+515.6</f>
        <v>523.6</v>
      </c>
      <c r="K13" s="62">
        <f>516+8.2</f>
        <v>524.2</v>
      </c>
      <c r="L13" s="79">
        <f>8.221+741.293</f>
        <v>749.514</v>
      </c>
      <c r="M13" s="95">
        <f>7.415+749.839</f>
        <v>757.254</v>
      </c>
      <c r="N13" s="95">
        <f>24.984</f>
        <v>24.984</v>
      </c>
      <c r="O13" s="95">
        <f>25.99</f>
        <v>25.99</v>
      </c>
      <c r="P13" s="95">
        <v>27.259</v>
      </c>
      <c r="Q13" s="95">
        <v>26.789</v>
      </c>
      <c r="R13" s="95">
        <v>27</v>
      </c>
      <c r="S13" s="95">
        <v>27</v>
      </c>
      <c r="T13" s="137">
        <v>27</v>
      </c>
      <c r="U13" s="137"/>
      <c r="X13" s="174"/>
      <c r="Y13" s="174"/>
      <c r="Z13" s="174"/>
      <c r="AA13" s="174"/>
      <c r="AB13" s="174"/>
    </row>
    <row r="14" spans="1:28" ht="12" customHeight="1">
      <c r="A14" s="15"/>
      <c r="B14" s="2"/>
      <c r="C14" s="2"/>
      <c r="D14" s="2"/>
      <c r="E14" s="3"/>
      <c r="F14" s="3"/>
      <c r="G14" s="3"/>
      <c r="H14" s="21"/>
      <c r="I14" s="21"/>
      <c r="J14" s="21"/>
      <c r="K14" s="58"/>
      <c r="M14" s="89"/>
      <c r="N14" s="89"/>
      <c r="O14" s="89"/>
      <c r="R14" s="122"/>
      <c r="S14" s="122"/>
      <c r="V14" s="118"/>
      <c r="X14" s="174"/>
      <c r="Y14" s="174"/>
      <c r="Z14" s="174"/>
      <c r="AA14" s="174"/>
      <c r="AB14" s="174"/>
    </row>
    <row r="15" spans="1:28" ht="12" customHeight="1">
      <c r="A15" s="264" t="s">
        <v>262</v>
      </c>
      <c r="B15" s="267">
        <f aca="true" t="shared" si="3" ref="B15:Q15">SUM(B16:B19)</f>
        <v>482</v>
      </c>
      <c r="C15" s="267">
        <f t="shared" si="3"/>
        <v>481</v>
      </c>
      <c r="D15" s="267">
        <f t="shared" si="3"/>
        <v>511</v>
      </c>
      <c r="E15" s="267">
        <f t="shared" si="3"/>
        <v>514</v>
      </c>
      <c r="F15" s="267">
        <f t="shared" si="3"/>
        <v>501</v>
      </c>
      <c r="G15" s="267">
        <f t="shared" si="3"/>
        <v>504</v>
      </c>
      <c r="H15" s="267">
        <f t="shared" si="3"/>
        <v>537</v>
      </c>
      <c r="I15" s="267">
        <f t="shared" si="3"/>
        <v>538</v>
      </c>
      <c r="J15" s="267">
        <f t="shared" si="3"/>
        <v>540</v>
      </c>
      <c r="K15" s="267">
        <f t="shared" si="3"/>
        <v>545</v>
      </c>
      <c r="L15" s="267">
        <f t="shared" si="3"/>
        <v>553</v>
      </c>
      <c r="M15" s="298">
        <f t="shared" si="3"/>
        <v>553</v>
      </c>
      <c r="N15" s="298">
        <f t="shared" si="3"/>
        <v>562</v>
      </c>
      <c r="O15" s="298">
        <f t="shared" si="3"/>
        <v>562</v>
      </c>
      <c r="P15" s="298">
        <f t="shared" si="3"/>
        <v>573</v>
      </c>
      <c r="Q15" s="298">
        <f t="shared" si="3"/>
        <v>573</v>
      </c>
      <c r="R15" s="298">
        <f aca="true" t="shared" si="4" ref="R15:W15">SUM(R16:R19)</f>
        <v>573</v>
      </c>
      <c r="S15" s="298">
        <f t="shared" si="4"/>
        <v>553</v>
      </c>
      <c r="T15" s="298">
        <f t="shared" si="4"/>
        <v>487</v>
      </c>
      <c r="U15" s="298">
        <f t="shared" si="4"/>
        <v>495</v>
      </c>
      <c r="V15" s="298">
        <f t="shared" si="4"/>
        <v>495</v>
      </c>
      <c r="W15" s="298">
        <f t="shared" si="4"/>
        <v>495.2</v>
      </c>
      <c r="X15" s="298">
        <f>SUM(X16:X19)</f>
        <v>513.99</v>
      </c>
      <c r="Y15" s="298">
        <f>SUM(Y16:Y19)</f>
        <v>514</v>
      </c>
      <c r="Z15" s="298">
        <f>SUM(Z16:Z19)</f>
        <v>514</v>
      </c>
      <c r="AA15" s="298">
        <f>SUM(AA16:AA19)</f>
        <v>518</v>
      </c>
      <c r="AB15" s="298">
        <f>SUM(AB16:AB19)</f>
        <v>512.6</v>
      </c>
    </row>
    <row r="16" spans="1:28" ht="12" customHeight="1">
      <c r="A16" s="20" t="s">
        <v>256</v>
      </c>
      <c r="B16" s="2">
        <v>58</v>
      </c>
      <c r="C16" s="2">
        <v>58</v>
      </c>
      <c r="D16" s="2">
        <v>58</v>
      </c>
      <c r="E16" s="3">
        <v>58</v>
      </c>
      <c r="F16" s="3">
        <v>60</v>
      </c>
      <c r="G16" s="3">
        <v>60</v>
      </c>
      <c r="H16" s="21">
        <v>60</v>
      </c>
      <c r="I16" s="21">
        <v>58</v>
      </c>
      <c r="J16" s="21">
        <v>60</v>
      </c>
      <c r="K16" s="58">
        <v>60</v>
      </c>
      <c r="L16" s="21">
        <v>60</v>
      </c>
      <c r="M16" s="89">
        <v>60</v>
      </c>
      <c r="N16" s="89">
        <v>60</v>
      </c>
      <c r="O16" s="89">
        <v>60</v>
      </c>
      <c r="P16" s="89">
        <v>60</v>
      </c>
      <c r="Q16" s="122">
        <v>60</v>
      </c>
      <c r="R16" s="122">
        <v>60</v>
      </c>
      <c r="S16" s="122">
        <v>60</v>
      </c>
      <c r="T16" s="122">
        <v>60</v>
      </c>
      <c r="U16" s="122">
        <v>60</v>
      </c>
      <c r="V16" s="150">
        <v>60</v>
      </c>
      <c r="W16" s="159">
        <v>60.5</v>
      </c>
      <c r="X16" s="173">
        <v>60.5</v>
      </c>
      <c r="Y16" s="173">
        <v>60</v>
      </c>
      <c r="Z16" s="173">
        <v>60</v>
      </c>
      <c r="AA16" s="173">
        <v>60</v>
      </c>
      <c r="AB16" s="173">
        <v>60.6</v>
      </c>
    </row>
    <row r="17" spans="1:28" ht="12" customHeight="1">
      <c r="A17" s="268" t="s">
        <v>257</v>
      </c>
      <c r="B17" s="269">
        <v>11</v>
      </c>
      <c r="C17" s="269">
        <v>18</v>
      </c>
      <c r="D17" s="269">
        <v>54</v>
      </c>
      <c r="E17" s="270">
        <v>54</v>
      </c>
      <c r="F17" s="270">
        <v>48</v>
      </c>
      <c r="G17" s="270">
        <v>48</v>
      </c>
      <c r="H17" s="271">
        <v>81</v>
      </c>
      <c r="I17" s="271">
        <v>81</v>
      </c>
      <c r="J17" s="271">
        <v>81</v>
      </c>
      <c r="K17" s="273">
        <v>81</v>
      </c>
      <c r="L17" s="271">
        <v>89</v>
      </c>
      <c r="M17" s="300">
        <v>89</v>
      </c>
      <c r="N17" s="300">
        <v>94</v>
      </c>
      <c r="O17" s="300">
        <v>94</v>
      </c>
      <c r="P17" s="300">
        <v>105</v>
      </c>
      <c r="Q17" s="310">
        <v>105</v>
      </c>
      <c r="R17" s="310">
        <v>105</v>
      </c>
      <c r="S17" s="310">
        <v>105</v>
      </c>
      <c r="T17" s="310">
        <v>98</v>
      </c>
      <c r="U17" s="310">
        <v>108</v>
      </c>
      <c r="V17" s="312">
        <v>108</v>
      </c>
      <c r="W17" s="312">
        <v>109.1</v>
      </c>
      <c r="X17" s="300">
        <v>127.85</v>
      </c>
      <c r="Y17" s="300">
        <v>128</v>
      </c>
      <c r="Z17" s="300">
        <v>128</v>
      </c>
      <c r="AA17" s="300">
        <v>128</v>
      </c>
      <c r="AB17" s="300">
        <v>128</v>
      </c>
    </row>
    <row r="18" spans="1:28" ht="12" customHeight="1">
      <c r="A18" s="20" t="s">
        <v>1794</v>
      </c>
      <c r="B18" s="2">
        <v>3</v>
      </c>
      <c r="C18" s="2">
        <v>3</v>
      </c>
      <c r="D18" s="2">
        <v>3</v>
      </c>
      <c r="E18" s="3">
        <v>6</v>
      </c>
      <c r="F18" s="3">
        <v>8</v>
      </c>
      <c r="G18" s="3">
        <v>8</v>
      </c>
      <c r="H18" s="21">
        <v>8</v>
      </c>
      <c r="I18" s="21">
        <v>11</v>
      </c>
      <c r="J18" s="21">
        <v>11</v>
      </c>
      <c r="K18" s="58">
        <v>11</v>
      </c>
      <c r="L18" s="21">
        <v>11</v>
      </c>
      <c r="M18" s="89">
        <v>11</v>
      </c>
      <c r="N18" s="89">
        <v>11</v>
      </c>
      <c r="O18" s="89">
        <v>11</v>
      </c>
      <c r="P18" s="89">
        <v>18</v>
      </c>
      <c r="Q18" s="122">
        <v>18</v>
      </c>
      <c r="R18" s="122">
        <v>18</v>
      </c>
      <c r="S18" s="122">
        <v>16</v>
      </c>
      <c r="T18" s="122">
        <v>13</v>
      </c>
      <c r="U18" s="122">
        <v>13</v>
      </c>
      <c r="V18" s="150">
        <v>13</v>
      </c>
      <c r="W18" s="150">
        <v>10.6</v>
      </c>
      <c r="X18" s="89">
        <v>10.64</v>
      </c>
      <c r="Y18" s="89">
        <v>11</v>
      </c>
      <c r="Z18" s="89">
        <v>11</v>
      </c>
      <c r="AA18" s="89">
        <v>11</v>
      </c>
      <c r="AB18" s="89">
        <v>11</v>
      </c>
    </row>
    <row r="19" spans="1:28" ht="12" customHeight="1">
      <c r="A19" s="268" t="s">
        <v>258</v>
      </c>
      <c r="B19" s="271">
        <f aca="true" t="shared" si="5" ref="B19:O19">SUM(B20:B22)</f>
        <v>410</v>
      </c>
      <c r="C19" s="271">
        <f t="shared" si="5"/>
        <v>402</v>
      </c>
      <c r="D19" s="271">
        <f t="shared" si="5"/>
        <v>396</v>
      </c>
      <c r="E19" s="271">
        <f t="shared" si="5"/>
        <v>396</v>
      </c>
      <c r="F19" s="271">
        <f t="shared" si="5"/>
        <v>385</v>
      </c>
      <c r="G19" s="271">
        <f t="shared" si="5"/>
        <v>388</v>
      </c>
      <c r="H19" s="271">
        <f t="shared" si="5"/>
        <v>388</v>
      </c>
      <c r="I19" s="271">
        <f t="shared" si="5"/>
        <v>388</v>
      </c>
      <c r="J19" s="271">
        <f t="shared" si="5"/>
        <v>388</v>
      </c>
      <c r="K19" s="271">
        <f t="shared" si="5"/>
        <v>393</v>
      </c>
      <c r="L19" s="271">
        <f t="shared" si="5"/>
        <v>393</v>
      </c>
      <c r="M19" s="271">
        <f t="shared" si="5"/>
        <v>393</v>
      </c>
      <c r="N19" s="271">
        <f t="shared" si="5"/>
        <v>397</v>
      </c>
      <c r="O19" s="271">
        <f t="shared" si="5"/>
        <v>397</v>
      </c>
      <c r="P19" s="300">
        <v>390</v>
      </c>
      <c r="Q19" s="310">
        <v>390</v>
      </c>
      <c r="R19" s="310">
        <v>390</v>
      </c>
      <c r="S19" s="310">
        <v>372</v>
      </c>
      <c r="T19" s="310">
        <v>316</v>
      </c>
      <c r="U19" s="310">
        <v>314</v>
      </c>
      <c r="V19" s="312">
        <v>314</v>
      </c>
      <c r="W19" s="312">
        <v>315</v>
      </c>
      <c r="X19" s="300">
        <v>315</v>
      </c>
      <c r="Y19" s="300">
        <v>315</v>
      </c>
      <c r="Z19" s="300">
        <v>315</v>
      </c>
      <c r="AA19" s="300">
        <v>319</v>
      </c>
      <c r="AB19" s="300">
        <v>313</v>
      </c>
    </row>
    <row r="20" spans="1:28" ht="12" customHeight="1" hidden="1">
      <c r="A20" s="22" t="s">
        <v>259</v>
      </c>
      <c r="B20" s="23">
        <v>38</v>
      </c>
      <c r="C20" s="23">
        <v>38</v>
      </c>
      <c r="D20" s="23">
        <v>15</v>
      </c>
      <c r="E20" s="24">
        <v>30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79">
        <v>0</v>
      </c>
      <c r="M20" s="95">
        <v>0</v>
      </c>
      <c r="N20" s="95">
        <v>0</v>
      </c>
      <c r="O20" s="95">
        <v>0</v>
      </c>
      <c r="R20" s="122"/>
      <c r="S20" s="122"/>
      <c r="X20" s="174"/>
      <c r="Y20" s="174"/>
      <c r="Z20" s="174"/>
      <c r="AA20" s="174"/>
      <c r="AB20" s="174"/>
    </row>
    <row r="21" spans="1:28" ht="12" customHeight="1" hidden="1">
      <c r="A21" s="22" t="s">
        <v>260</v>
      </c>
      <c r="B21" s="23">
        <v>89</v>
      </c>
      <c r="C21" s="23">
        <v>58</v>
      </c>
      <c r="D21" s="23">
        <v>51</v>
      </c>
      <c r="E21" s="24">
        <v>8</v>
      </c>
      <c r="F21" s="24">
        <v>61</v>
      </c>
      <c r="G21" s="24">
        <v>61</v>
      </c>
      <c r="H21" s="25">
        <v>61</v>
      </c>
      <c r="I21" s="25">
        <v>61</v>
      </c>
      <c r="J21" s="25">
        <v>61</v>
      </c>
      <c r="K21" s="62">
        <v>61</v>
      </c>
      <c r="L21" s="79">
        <v>61</v>
      </c>
      <c r="M21" s="95">
        <v>35</v>
      </c>
      <c r="N21" s="95">
        <v>35</v>
      </c>
      <c r="O21" s="95">
        <v>35</v>
      </c>
      <c r="R21" s="122"/>
      <c r="S21" s="122"/>
      <c r="X21" s="174"/>
      <c r="Y21" s="174"/>
      <c r="Z21" s="174"/>
      <c r="AA21" s="174"/>
      <c r="AB21" s="174"/>
    </row>
    <row r="22" spans="1:28" ht="12" customHeight="1" hidden="1">
      <c r="A22" s="22" t="s">
        <v>261</v>
      </c>
      <c r="B22" s="23">
        <v>283</v>
      </c>
      <c r="C22" s="23">
        <v>306</v>
      </c>
      <c r="D22" s="23">
        <v>330</v>
      </c>
      <c r="E22" s="24">
        <v>358</v>
      </c>
      <c r="F22" s="24">
        <v>324</v>
      </c>
      <c r="G22" s="24">
        <v>327</v>
      </c>
      <c r="H22" s="25">
        <v>327</v>
      </c>
      <c r="I22" s="25">
        <v>327</v>
      </c>
      <c r="J22" s="25">
        <v>327</v>
      </c>
      <c r="K22" s="62">
        <v>332</v>
      </c>
      <c r="L22" s="79">
        <v>332</v>
      </c>
      <c r="M22" s="95">
        <v>358</v>
      </c>
      <c r="N22" s="95">
        <v>362</v>
      </c>
      <c r="O22" s="95">
        <v>362</v>
      </c>
      <c r="R22" s="122"/>
      <c r="S22" s="122"/>
      <c r="X22" s="174"/>
      <c r="Y22" s="174"/>
      <c r="Z22" s="174"/>
      <c r="AA22" s="174"/>
      <c r="AB22" s="174"/>
    </row>
    <row r="23" spans="1:28" ht="12" customHeight="1">
      <c r="A23" s="15"/>
      <c r="B23" s="2"/>
      <c r="C23" s="2"/>
      <c r="D23" s="2"/>
      <c r="E23" s="3"/>
      <c r="F23" s="3"/>
      <c r="G23" s="3"/>
      <c r="H23" s="21"/>
      <c r="I23" s="21"/>
      <c r="J23" s="21"/>
      <c r="K23" s="58"/>
      <c r="M23" s="89"/>
      <c r="N23" s="89"/>
      <c r="O23" s="89"/>
      <c r="R23" s="122"/>
      <c r="S23" s="122"/>
      <c r="X23" s="174"/>
      <c r="Y23" s="174"/>
      <c r="Z23" s="174"/>
      <c r="AA23" s="174"/>
      <c r="AB23" s="174"/>
    </row>
    <row r="24" spans="1:28" s="118" customFormat="1" ht="12" customHeight="1">
      <c r="A24" s="264" t="s">
        <v>270</v>
      </c>
      <c r="B24" s="267">
        <f aca="true" t="shared" si="6" ref="B24:P24">SUM(B25:B28)</f>
        <v>847</v>
      </c>
      <c r="C24" s="267">
        <f t="shared" si="6"/>
        <v>847</v>
      </c>
      <c r="D24" s="267">
        <f t="shared" si="6"/>
        <v>847</v>
      </c>
      <c r="E24" s="267">
        <f t="shared" si="6"/>
        <v>847</v>
      </c>
      <c r="F24" s="267">
        <f t="shared" si="6"/>
        <v>849</v>
      </c>
      <c r="G24" s="267">
        <f t="shared" si="6"/>
        <v>849</v>
      </c>
      <c r="H24" s="267">
        <f t="shared" si="6"/>
        <v>855</v>
      </c>
      <c r="I24" s="267">
        <f t="shared" si="6"/>
        <v>855.1</v>
      </c>
      <c r="J24" s="267">
        <f t="shared" si="6"/>
        <v>855.1</v>
      </c>
      <c r="K24" s="267">
        <f t="shared" si="6"/>
        <v>855.1</v>
      </c>
      <c r="L24" s="267">
        <f t="shared" si="6"/>
        <v>855.1</v>
      </c>
      <c r="M24" s="267">
        <f t="shared" si="6"/>
        <v>855.1</v>
      </c>
      <c r="N24" s="267">
        <f t="shared" si="6"/>
        <v>855.1</v>
      </c>
      <c r="O24" s="267">
        <f t="shared" si="6"/>
        <v>855.1</v>
      </c>
      <c r="P24" s="267">
        <f t="shared" si="6"/>
        <v>825</v>
      </c>
      <c r="Q24" s="267">
        <f aca="true" t="shared" si="7" ref="Q24:V24">SUM(Q25:Q28)</f>
        <v>844.57</v>
      </c>
      <c r="R24" s="267">
        <f t="shared" si="7"/>
        <v>838.84</v>
      </c>
      <c r="S24" s="267">
        <f t="shared" si="7"/>
        <v>819</v>
      </c>
      <c r="T24" s="267">
        <f t="shared" si="7"/>
        <v>819</v>
      </c>
      <c r="U24" s="267">
        <f t="shared" si="7"/>
        <v>824</v>
      </c>
      <c r="V24" s="267">
        <f t="shared" si="7"/>
        <v>824</v>
      </c>
      <c r="W24" s="267">
        <f aca="true" t="shared" si="8" ref="W24:AB24">SUM(W25:W28)</f>
        <v>831.026</v>
      </c>
      <c r="X24" s="298">
        <f t="shared" si="8"/>
        <v>831</v>
      </c>
      <c r="Y24" s="298">
        <f t="shared" si="8"/>
        <v>829.446</v>
      </c>
      <c r="Z24" s="298">
        <f t="shared" si="8"/>
        <v>823.577</v>
      </c>
      <c r="AA24" s="298">
        <f t="shared" si="8"/>
        <v>823.6</v>
      </c>
      <c r="AB24" s="298">
        <f t="shared" si="8"/>
        <v>817.9</v>
      </c>
    </row>
    <row r="25" spans="1:28" s="118" customFormat="1" ht="12" customHeight="1">
      <c r="A25" s="110" t="s">
        <v>256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2">
        <v>0</v>
      </c>
      <c r="M25" s="119">
        <v>0</v>
      </c>
      <c r="N25" s="119">
        <v>0</v>
      </c>
      <c r="O25" s="119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50">
        <v>0</v>
      </c>
      <c r="W25" s="150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</row>
    <row r="26" spans="1:28" s="118" customFormat="1" ht="12" customHeight="1">
      <c r="A26" s="278" t="s">
        <v>257</v>
      </c>
      <c r="B26" s="280">
        <v>0</v>
      </c>
      <c r="C26" s="280">
        <v>0</v>
      </c>
      <c r="D26" s="280">
        <v>0</v>
      </c>
      <c r="E26" s="280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74">
        <v>0</v>
      </c>
      <c r="M26" s="308">
        <v>0</v>
      </c>
      <c r="N26" s="308">
        <v>0</v>
      </c>
      <c r="O26" s="308">
        <v>0</v>
      </c>
      <c r="P26" s="310">
        <v>0</v>
      </c>
      <c r="Q26" s="310">
        <v>0</v>
      </c>
      <c r="R26" s="310">
        <v>0</v>
      </c>
      <c r="S26" s="310">
        <v>0</v>
      </c>
      <c r="T26" s="310">
        <v>0</v>
      </c>
      <c r="U26" s="310">
        <v>0</v>
      </c>
      <c r="V26" s="312">
        <v>0</v>
      </c>
      <c r="W26" s="312">
        <v>0</v>
      </c>
      <c r="X26" s="300">
        <v>0</v>
      </c>
      <c r="Y26" s="300">
        <v>0</v>
      </c>
      <c r="Z26" s="300">
        <v>0</v>
      </c>
      <c r="AA26" s="300">
        <v>0</v>
      </c>
      <c r="AB26" s="300">
        <v>0</v>
      </c>
    </row>
    <row r="27" spans="1:28" s="118" customFormat="1" ht="12" customHeight="1">
      <c r="A27" s="20" t="s">
        <v>1794</v>
      </c>
      <c r="B27" s="111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2">
        <v>0</v>
      </c>
      <c r="M27" s="119">
        <v>0</v>
      </c>
      <c r="N27" s="119">
        <v>0</v>
      </c>
      <c r="O27" s="119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50">
        <v>0</v>
      </c>
      <c r="W27" s="158">
        <v>0.026</v>
      </c>
      <c r="X27" s="173">
        <v>0</v>
      </c>
      <c r="Y27" s="173">
        <v>0</v>
      </c>
      <c r="Z27" s="173">
        <v>0.026</v>
      </c>
      <c r="AA27" s="173">
        <v>0</v>
      </c>
      <c r="AB27" s="173">
        <v>0</v>
      </c>
    </row>
    <row r="28" spans="1:28" s="118" customFormat="1" ht="12" customHeight="1">
      <c r="A28" s="278" t="s">
        <v>258</v>
      </c>
      <c r="B28" s="274">
        <f aca="true" t="shared" si="9" ref="B28:H28">SUM(B29:B31)</f>
        <v>847</v>
      </c>
      <c r="C28" s="274">
        <f t="shared" si="9"/>
        <v>847</v>
      </c>
      <c r="D28" s="274">
        <f t="shared" si="9"/>
        <v>847</v>
      </c>
      <c r="E28" s="274">
        <f t="shared" si="9"/>
        <v>847</v>
      </c>
      <c r="F28" s="274">
        <f t="shared" si="9"/>
        <v>849</v>
      </c>
      <c r="G28" s="274">
        <f t="shared" si="9"/>
        <v>849</v>
      </c>
      <c r="H28" s="274">
        <f t="shared" si="9"/>
        <v>855</v>
      </c>
      <c r="I28" s="274">
        <v>855.1</v>
      </c>
      <c r="J28" s="274">
        <v>855.1</v>
      </c>
      <c r="K28" s="274">
        <v>855.1</v>
      </c>
      <c r="L28" s="274">
        <v>855.1</v>
      </c>
      <c r="M28" s="274">
        <v>855.1</v>
      </c>
      <c r="N28" s="274">
        <v>855.1</v>
      </c>
      <c r="O28" s="274">
        <v>855.1</v>
      </c>
      <c r="P28" s="310">
        <v>825</v>
      </c>
      <c r="Q28" s="308">
        <v>844.57</v>
      </c>
      <c r="R28" s="308">
        <v>838.84</v>
      </c>
      <c r="S28" s="308">
        <v>819</v>
      </c>
      <c r="T28" s="310">
        <v>819</v>
      </c>
      <c r="U28" s="310">
        <v>824</v>
      </c>
      <c r="V28" s="312">
        <v>824</v>
      </c>
      <c r="W28" s="312">
        <v>831</v>
      </c>
      <c r="X28" s="300">
        <v>831</v>
      </c>
      <c r="Y28" s="300">
        <v>829.446</v>
      </c>
      <c r="Z28" s="300">
        <v>823.551</v>
      </c>
      <c r="AA28" s="300">
        <v>823.6</v>
      </c>
      <c r="AB28" s="300">
        <v>817.9</v>
      </c>
    </row>
    <row r="29" spans="1:28" ht="12" customHeight="1" hidden="1">
      <c r="A29" s="22" t="s">
        <v>259</v>
      </c>
      <c r="B29" s="23">
        <v>34</v>
      </c>
      <c r="C29" s="23">
        <v>34</v>
      </c>
      <c r="D29" s="23">
        <v>34</v>
      </c>
      <c r="E29" s="24">
        <v>34</v>
      </c>
      <c r="F29" s="27">
        <v>162</v>
      </c>
      <c r="G29" s="24">
        <v>162</v>
      </c>
      <c r="H29" s="25">
        <v>162</v>
      </c>
      <c r="I29" s="25">
        <v>162</v>
      </c>
      <c r="J29" s="25">
        <v>161</v>
      </c>
      <c r="K29" s="62">
        <v>161</v>
      </c>
      <c r="L29" s="79">
        <v>161</v>
      </c>
      <c r="M29" s="95">
        <v>161</v>
      </c>
      <c r="N29" s="95">
        <v>161</v>
      </c>
      <c r="O29" s="95">
        <v>161</v>
      </c>
      <c r="R29" s="122"/>
      <c r="S29" s="122"/>
      <c r="X29" s="174"/>
      <c r="Y29" s="174"/>
      <c r="Z29" s="174"/>
      <c r="AA29" s="174"/>
      <c r="AB29" s="174"/>
    </row>
    <row r="30" spans="1:28" ht="12" customHeight="1" hidden="1">
      <c r="A30" s="22" t="s">
        <v>260</v>
      </c>
      <c r="B30" s="23">
        <v>589</v>
      </c>
      <c r="C30" s="23">
        <v>549</v>
      </c>
      <c r="D30" s="23">
        <v>539</v>
      </c>
      <c r="E30" s="24">
        <v>528</v>
      </c>
      <c r="F30" s="24">
        <v>441</v>
      </c>
      <c r="G30" s="24">
        <v>435</v>
      </c>
      <c r="H30" s="25">
        <v>441</v>
      </c>
      <c r="I30" s="25">
        <v>441</v>
      </c>
      <c r="J30" s="25">
        <v>442</v>
      </c>
      <c r="K30" s="62">
        <v>442</v>
      </c>
      <c r="L30" s="79">
        <v>442</v>
      </c>
      <c r="M30" s="95">
        <v>442</v>
      </c>
      <c r="N30" s="95">
        <v>442</v>
      </c>
      <c r="O30" s="95">
        <v>442</v>
      </c>
      <c r="R30" s="122"/>
      <c r="S30" s="122"/>
      <c r="X30" s="174"/>
      <c r="Y30" s="174"/>
      <c r="Z30" s="174"/>
      <c r="AA30" s="174"/>
      <c r="AB30" s="174"/>
    </row>
    <row r="31" spans="1:28" ht="12" customHeight="1" hidden="1">
      <c r="A31" s="22" t="s">
        <v>261</v>
      </c>
      <c r="B31" s="23">
        <v>224</v>
      </c>
      <c r="C31" s="23">
        <v>264</v>
      </c>
      <c r="D31" s="23">
        <v>274</v>
      </c>
      <c r="E31" s="24">
        <v>285</v>
      </c>
      <c r="F31" s="24">
        <v>246</v>
      </c>
      <c r="G31" s="24">
        <v>252</v>
      </c>
      <c r="H31" s="25">
        <v>252</v>
      </c>
      <c r="I31" s="25">
        <v>252</v>
      </c>
      <c r="J31" s="25">
        <v>252</v>
      </c>
      <c r="K31" s="62">
        <v>252.1</v>
      </c>
      <c r="L31" s="79">
        <v>252</v>
      </c>
      <c r="M31" s="95">
        <v>252</v>
      </c>
      <c r="N31" s="95">
        <v>252</v>
      </c>
      <c r="O31" s="95">
        <v>252</v>
      </c>
      <c r="R31" s="122"/>
      <c r="S31" s="122"/>
      <c r="X31" s="174"/>
      <c r="Y31" s="174"/>
      <c r="Z31" s="174"/>
      <c r="AA31" s="174"/>
      <c r="AB31" s="174"/>
    </row>
    <row r="32" spans="1:28" ht="12" customHeight="1">
      <c r="A32" s="15"/>
      <c r="B32" s="2"/>
      <c r="C32" s="2"/>
      <c r="D32" s="2"/>
      <c r="E32" s="3"/>
      <c r="F32" s="3"/>
      <c r="G32" s="3"/>
      <c r="H32" s="21"/>
      <c r="I32" s="21"/>
      <c r="J32" s="21"/>
      <c r="K32" s="58"/>
      <c r="M32" s="89"/>
      <c r="N32" s="89"/>
      <c r="O32" s="89"/>
      <c r="R32" s="122"/>
      <c r="S32" s="122"/>
      <c r="X32" s="174"/>
      <c r="Y32" s="174"/>
      <c r="Z32" s="174"/>
      <c r="AA32" s="174"/>
      <c r="AB32" s="174"/>
    </row>
    <row r="33" spans="1:28" ht="12" customHeight="1">
      <c r="A33" s="282" t="s">
        <v>271</v>
      </c>
      <c r="B33" s="311" t="e">
        <f aca="true" t="shared" si="10" ref="B33:O33">SUM(B34:B37)</f>
        <v>#VALUE!</v>
      </c>
      <c r="C33" s="311">
        <f t="shared" si="10"/>
        <v>2652</v>
      </c>
      <c r="D33" s="311">
        <f t="shared" si="10"/>
        <v>2688</v>
      </c>
      <c r="E33" s="311">
        <f t="shared" si="10"/>
        <v>2704</v>
      </c>
      <c r="F33" s="311">
        <f t="shared" si="10"/>
        <v>2695.6180000000004</v>
      </c>
      <c r="G33" s="311">
        <f t="shared" si="10"/>
        <v>2698.618</v>
      </c>
      <c r="H33" s="311">
        <f t="shared" si="10"/>
        <v>2742</v>
      </c>
      <c r="I33" s="311">
        <f t="shared" si="10"/>
        <v>2739.766</v>
      </c>
      <c r="J33" s="311">
        <f t="shared" si="10"/>
        <v>2747.7</v>
      </c>
      <c r="K33" s="311">
        <f t="shared" si="10"/>
        <v>2751.7799999999997</v>
      </c>
      <c r="L33" s="311">
        <f t="shared" si="10"/>
        <v>2760.7389999999996</v>
      </c>
      <c r="M33" s="311">
        <f t="shared" si="10"/>
        <v>2766.702</v>
      </c>
      <c r="N33" s="311">
        <f t="shared" si="10"/>
        <v>2819.5499999999997</v>
      </c>
      <c r="O33" s="311">
        <f t="shared" si="10"/>
        <v>2827.5499999999997</v>
      </c>
      <c r="P33" s="311">
        <f aca="true" t="shared" si="11" ref="P33:V33">SUM(P34:P37)</f>
        <v>2882.45</v>
      </c>
      <c r="Q33" s="311">
        <f t="shared" si="11"/>
        <v>2888.08</v>
      </c>
      <c r="R33" s="311">
        <f t="shared" si="11"/>
        <v>2895.73</v>
      </c>
      <c r="S33" s="311">
        <f t="shared" si="11"/>
        <v>2851.1099999999997</v>
      </c>
      <c r="T33" s="311">
        <f t="shared" si="11"/>
        <v>2909.92</v>
      </c>
      <c r="U33" s="311">
        <f t="shared" si="11"/>
        <v>2724.74</v>
      </c>
      <c r="V33" s="311">
        <f t="shared" si="11"/>
        <v>2877.45</v>
      </c>
      <c r="W33" s="311">
        <f aca="true" t="shared" si="12" ref="W33:AB33">SUM(W34:W37)</f>
        <v>2866.676</v>
      </c>
      <c r="X33" s="294">
        <f t="shared" si="12"/>
        <v>2887.94</v>
      </c>
      <c r="Y33" s="294">
        <f t="shared" si="12"/>
        <v>2910.446</v>
      </c>
      <c r="Z33" s="294">
        <f t="shared" si="12"/>
        <v>2894.301</v>
      </c>
      <c r="AA33" s="294">
        <f t="shared" si="12"/>
        <v>2898.7000000000003</v>
      </c>
      <c r="AB33" s="294">
        <f t="shared" si="12"/>
        <v>2887.2</v>
      </c>
    </row>
    <row r="34" spans="1:28" ht="12" customHeight="1">
      <c r="A34" s="20" t="s">
        <v>256</v>
      </c>
      <c r="B34" s="3" t="e">
        <f aca="true" t="shared" si="13" ref="B34:O34">B16+B7+B25</f>
        <v>#VALUE!</v>
      </c>
      <c r="C34" s="3">
        <f t="shared" si="13"/>
        <v>58</v>
      </c>
      <c r="D34" s="3">
        <f t="shared" si="13"/>
        <v>63</v>
      </c>
      <c r="E34" s="3">
        <f t="shared" si="13"/>
        <v>63</v>
      </c>
      <c r="F34" s="3">
        <f t="shared" si="13"/>
        <v>64.664</v>
      </c>
      <c r="G34" s="3">
        <f t="shared" si="13"/>
        <v>64.664</v>
      </c>
      <c r="H34" s="3">
        <f t="shared" si="13"/>
        <v>65</v>
      </c>
      <c r="I34" s="3">
        <f t="shared" si="13"/>
        <v>63.163</v>
      </c>
      <c r="J34" s="3">
        <f t="shared" si="13"/>
        <v>65.2</v>
      </c>
      <c r="K34" s="3">
        <f t="shared" si="13"/>
        <v>64.7</v>
      </c>
      <c r="L34" s="3">
        <f t="shared" si="13"/>
        <v>60</v>
      </c>
      <c r="M34" s="3">
        <f t="shared" si="13"/>
        <v>60</v>
      </c>
      <c r="N34" s="3">
        <f t="shared" si="13"/>
        <v>60</v>
      </c>
      <c r="O34" s="3">
        <f t="shared" si="13"/>
        <v>60</v>
      </c>
      <c r="P34" s="3">
        <f aca="true" t="shared" si="14" ref="P34:Q36">P16+P7+P25</f>
        <v>60</v>
      </c>
      <c r="Q34" s="3">
        <f t="shared" si="14"/>
        <v>60</v>
      </c>
      <c r="R34" s="3">
        <f aca="true" t="shared" si="15" ref="R34:S36">R16+R7+R25</f>
        <v>60</v>
      </c>
      <c r="S34" s="3">
        <f t="shared" si="15"/>
        <v>60</v>
      </c>
      <c r="T34" s="3">
        <f aca="true" t="shared" si="16" ref="T34:U36">T16+T7+T25</f>
        <v>60</v>
      </c>
      <c r="U34" s="3">
        <f t="shared" si="16"/>
        <v>60</v>
      </c>
      <c r="V34" s="3">
        <f aca="true" t="shared" si="17" ref="V34:W36">V16+V7+V25</f>
        <v>60</v>
      </c>
      <c r="W34" s="3">
        <f t="shared" si="17"/>
        <v>60.5</v>
      </c>
      <c r="X34" s="3">
        <f aca="true" t="shared" si="18" ref="X34:AA36">X16+X7+X25</f>
        <v>60.5</v>
      </c>
      <c r="Y34" s="3">
        <f t="shared" si="18"/>
        <v>60</v>
      </c>
      <c r="Z34" s="3">
        <f t="shared" si="18"/>
        <v>60</v>
      </c>
      <c r="AA34" s="3">
        <f t="shared" si="18"/>
        <v>60</v>
      </c>
      <c r="AB34" s="3">
        <f>AB7+AB16+AB25</f>
        <v>60.6</v>
      </c>
    </row>
    <row r="35" spans="1:28" ht="12" customHeight="1">
      <c r="A35" s="268" t="s">
        <v>257</v>
      </c>
      <c r="B35" s="270" t="e">
        <f aca="true" t="shared" si="19" ref="B35:O35">B17+B8+B26</f>
        <v>#VALUE!</v>
      </c>
      <c r="C35" s="270">
        <f t="shared" si="19"/>
        <v>18</v>
      </c>
      <c r="D35" s="270">
        <f t="shared" si="19"/>
        <v>54</v>
      </c>
      <c r="E35" s="270">
        <f t="shared" si="19"/>
        <v>54</v>
      </c>
      <c r="F35" s="270">
        <f t="shared" si="19"/>
        <v>48</v>
      </c>
      <c r="G35" s="270">
        <f t="shared" si="19"/>
        <v>48</v>
      </c>
      <c r="H35" s="270">
        <f t="shared" si="19"/>
        <v>81</v>
      </c>
      <c r="I35" s="270">
        <f t="shared" si="19"/>
        <v>81</v>
      </c>
      <c r="J35" s="270">
        <f t="shared" si="19"/>
        <v>81</v>
      </c>
      <c r="K35" s="270">
        <f t="shared" si="19"/>
        <v>81</v>
      </c>
      <c r="L35" s="270">
        <f t="shared" si="19"/>
        <v>93.365</v>
      </c>
      <c r="M35" s="270">
        <f t="shared" si="19"/>
        <v>93.365</v>
      </c>
      <c r="N35" s="270">
        <f t="shared" si="19"/>
        <v>100.45</v>
      </c>
      <c r="O35" s="270">
        <f t="shared" si="19"/>
        <v>100.45</v>
      </c>
      <c r="P35" s="270">
        <f t="shared" si="14"/>
        <v>111.45</v>
      </c>
      <c r="Q35" s="270">
        <f t="shared" si="14"/>
        <v>111.45</v>
      </c>
      <c r="R35" s="270">
        <f t="shared" si="15"/>
        <v>111.45</v>
      </c>
      <c r="S35" s="270">
        <f t="shared" si="15"/>
        <v>111.45</v>
      </c>
      <c r="T35" s="270">
        <f t="shared" si="16"/>
        <v>104.45</v>
      </c>
      <c r="U35" s="270">
        <f t="shared" si="16"/>
        <v>114.45</v>
      </c>
      <c r="V35" s="270">
        <f t="shared" si="17"/>
        <v>114.45</v>
      </c>
      <c r="W35" s="270">
        <f t="shared" si="17"/>
        <v>115.55</v>
      </c>
      <c r="X35" s="270">
        <f t="shared" si="18"/>
        <v>134.29999999999998</v>
      </c>
      <c r="Y35" s="270">
        <f t="shared" si="18"/>
        <v>151</v>
      </c>
      <c r="Z35" s="270">
        <f t="shared" si="18"/>
        <v>156.38</v>
      </c>
      <c r="AA35" s="270">
        <f t="shared" si="18"/>
        <v>156.4</v>
      </c>
      <c r="AB35" s="270">
        <f>AB8+AB17+AB26</f>
        <v>156.4</v>
      </c>
    </row>
    <row r="36" spans="1:28" ht="12" customHeight="1">
      <c r="A36" s="20" t="s">
        <v>1794</v>
      </c>
      <c r="B36" s="3" t="e">
        <f aca="true" t="shared" si="20" ref="B36:O36">B18+B9+B27</f>
        <v>#VALUE!</v>
      </c>
      <c r="C36" s="3">
        <f t="shared" si="20"/>
        <v>3</v>
      </c>
      <c r="D36" s="3">
        <f t="shared" si="20"/>
        <v>3</v>
      </c>
      <c r="E36" s="3">
        <f t="shared" si="20"/>
        <v>6</v>
      </c>
      <c r="F36" s="3">
        <f t="shared" si="20"/>
        <v>8</v>
      </c>
      <c r="G36" s="3">
        <f t="shared" si="20"/>
        <v>8</v>
      </c>
      <c r="H36" s="3">
        <f t="shared" si="20"/>
        <v>8</v>
      </c>
      <c r="I36" s="3">
        <f t="shared" si="20"/>
        <v>11</v>
      </c>
      <c r="J36" s="3">
        <f t="shared" si="20"/>
        <v>11</v>
      </c>
      <c r="K36" s="3">
        <f t="shared" si="20"/>
        <v>11</v>
      </c>
      <c r="L36" s="3">
        <f t="shared" si="20"/>
        <v>11</v>
      </c>
      <c r="M36" s="3">
        <f t="shared" si="20"/>
        <v>11</v>
      </c>
      <c r="N36" s="3">
        <f t="shared" si="20"/>
        <v>11</v>
      </c>
      <c r="O36" s="3">
        <f t="shared" si="20"/>
        <v>11</v>
      </c>
      <c r="P36" s="3">
        <f t="shared" si="14"/>
        <v>18</v>
      </c>
      <c r="Q36" s="3">
        <f t="shared" si="14"/>
        <v>18</v>
      </c>
      <c r="R36" s="3">
        <f t="shared" si="15"/>
        <v>18</v>
      </c>
      <c r="S36" s="3">
        <f t="shared" si="15"/>
        <v>16</v>
      </c>
      <c r="T36" s="3">
        <f t="shared" si="16"/>
        <v>13</v>
      </c>
      <c r="U36" s="3">
        <f t="shared" si="16"/>
        <v>13</v>
      </c>
      <c r="V36" s="3">
        <f t="shared" si="17"/>
        <v>13</v>
      </c>
      <c r="W36" s="3">
        <f t="shared" si="17"/>
        <v>10.626</v>
      </c>
      <c r="X36" s="3">
        <f t="shared" si="18"/>
        <v>10.64</v>
      </c>
      <c r="Y36" s="3">
        <f t="shared" si="18"/>
        <v>11</v>
      </c>
      <c r="Z36" s="3">
        <f t="shared" si="18"/>
        <v>11.026</v>
      </c>
      <c r="AA36" s="3">
        <f t="shared" si="18"/>
        <v>11</v>
      </c>
      <c r="AB36" s="3">
        <f>AB9+AB18+AB27</f>
        <v>11</v>
      </c>
    </row>
    <row r="37" spans="1:28" ht="12" customHeight="1">
      <c r="A37" s="268" t="s">
        <v>258</v>
      </c>
      <c r="B37" s="270">
        <f>SUM(B38:B40)</f>
        <v>2581</v>
      </c>
      <c r="C37" s="270">
        <f>SUM(C38:C40)</f>
        <v>2573</v>
      </c>
      <c r="D37" s="270">
        <f>SUM(D38:D40)</f>
        <v>2568</v>
      </c>
      <c r="E37" s="270">
        <f>SUM(E38:E40)</f>
        <v>2581</v>
      </c>
      <c r="F37" s="270">
        <f>SUM(F38:F40)</f>
        <v>2574.954</v>
      </c>
      <c r="G37" s="270">
        <f aca="true" t="shared" si="21" ref="G37:O37">G10+G19+G28</f>
        <v>2577.9539999999997</v>
      </c>
      <c r="H37" s="270">
        <f t="shared" si="21"/>
        <v>2588</v>
      </c>
      <c r="I37" s="270">
        <f t="shared" si="21"/>
        <v>2584.603</v>
      </c>
      <c r="J37" s="270">
        <f t="shared" si="21"/>
        <v>2590.5</v>
      </c>
      <c r="K37" s="270">
        <f t="shared" si="21"/>
        <v>2595.08</v>
      </c>
      <c r="L37" s="270">
        <f t="shared" si="21"/>
        <v>2596.374</v>
      </c>
      <c r="M37" s="270">
        <f t="shared" si="21"/>
        <v>2602.337</v>
      </c>
      <c r="N37" s="270">
        <f t="shared" si="21"/>
        <v>2648.1</v>
      </c>
      <c r="O37" s="270">
        <f t="shared" si="21"/>
        <v>2656.1</v>
      </c>
      <c r="P37" s="270">
        <f aca="true" t="shared" si="22" ref="P37:U37">P10+P19+P28</f>
        <v>2693</v>
      </c>
      <c r="Q37" s="270">
        <f t="shared" si="22"/>
        <v>2698.63</v>
      </c>
      <c r="R37" s="270">
        <f t="shared" si="22"/>
        <v>2706.28</v>
      </c>
      <c r="S37" s="270">
        <f t="shared" si="22"/>
        <v>2663.66</v>
      </c>
      <c r="T37" s="270">
        <f t="shared" si="22"/>
        <v>2732.4700000000003</v>
      </c>
      <c r="U37" s="270">
        <f t="shared" si="22"/>
        <v>2537.29</v>
      </c>
      <c r="V37" s="270">
        <f aca="true" t="shared" si="23" ref="V37:AA37">V10+V19+V28</f>
        <v>2690</v>
      </c>
      <c r="W37" s="270">
        <f t="shared" si="23"/>
        <v>2680</v>
      </c>
      <c r="X37" s="270">
        <f t="shared" si="23"/>
        <v>2682.5</v>
      </c>
      <c r="Y37" s="270">
        <f t="shared" si="23"/>
        <v>2688.446</v>
      </c>
      <c r="Z37" s="270">
        <f t="shared" si="23"/>
        <v>2666.895</v>
      </c>
      <c r="AA37" s="270">
        <f t="shared" si="23"/>
        <v>2671.3</v>
      </c>
      <c r="AB37" s="270">
        <f>AB10+AB19+AB28</f>
        <v>2659.2</v>
      </c>
    </row>
    <row r="38" spans="1:21" ht="12" customHeight="1" hidden="1">
      <c r="A38" s="22" t="s">
        <v>259</v>
      </c>
      <c r="B38" s="24">
        <f aca="true" t="shared" si="24" ref="B38:O38">B29+B20+B11</f>
        <v>215</v>
      </c>
      <c r="C38" s="24">
        <f t="shared" si="24"/>
        <v>214</v>
      </c>
      <c r="D38" s="24">
        <f t="shared" si="24"/>
        <v>176</v>
      </c>
      <c r="E38" s="24">
        <f t="shared" si="24"/>
        <v>191</v>
      </c>
      <c r="F38" s="24">
        <f t="shared" si="24"/>
        <v>288.77</v>
      </c>
      <c r="G38" s="24">
        <f t="shared" si="24"/>
        <v>288.77</v>
      </c>
      <c r="H38" s="24">
        <f t="shared" si="24"/>
        <v>288</v>
      </c>
      <c r="I38" s="24">
        <f t="shared" si="24"/>
        <v>287.895</v>
      </c>
      <c r="J38" s="24">
        <f t="shared" si="24"/>
        <v>286.9</v>
      </c>
      <c r="K38" s="24">
        <f t="shared" si="24"/>
        <v>789.98</v>
      </c>
      <c r="L38" s="24">
        <f t="shared" si="24"/>
        <v>638.3199999999999</v>
      </c>
      <c r="M38" s="24">
        <f t="shared" si="24"/>
        <v>635.952</v>
      </c>
      <c r="N38" s="24">
        <f t="shared" si="24"/>
        <v>635.4639999999999</v>
      </c>
      <c r="O38" s="24">
        <f t="shared" si="24"/>
        <v>636.393</v>
      </c>
      <c r="R38" s="122"/>
      <c r="S38" s="122"/>
      <c r="T38" s="122"/>
      <c r="U38" s="122"/>
    </row>
    <row r="39" spans="1:21" ht="12" customHeight="1" hidden="1">
      <c r="A39" s="22" t="s">
        <v>260</v>
      </c>
      <c r="B39" s="24">
        <f aca="true" t="shared" si="25" ref="B39:O39">B30+B21+B12</f>
        <v>1618</v>
      </c>
      <c r="C39" s="24">
        <f t="shared" si="25"/>
        <v>1311</v>
      </c>
      <c r="D39" s="24">
        <f t="shared" si="25"/>
        <v>1312</v>
      </c>
      <c r="E39" s="24">
        <f t="shared" si="25"/>
        <v>1747</v>
      </c>
      <c r="F39" s="24">
        <f t="shared" si="25"/>
        <v>1218.7150000000001</v>
      </c>
      <c r="G39" s="24">
        <f t="shared" si="25"/>
        <v>1212.7150000000001</v>
      </c>
      <c r="H39" s="24">
        <f t="shared" si="25"/>
        <v>1205</v>
      </c>
      <c r="I39" s="24">
        <f t="shared" si="25"/>
        <v>1203.242</v>
      </c>
      <c r="J39" s="24">
        <f t="shared" si="25"/>
        <v>1200.9</v>
      </c>
      <c r="K39" s="24">
        <f t="shared" si="25"/>
        <v>696.8</v>
      </c>
      <c r="L39" s="24">
        <f t="shared" si="25"/>
        <v>624.44</v>
      </c>
      <c r="M39" s="24">
        <f t="shared" si="25"/>
        <v>599.031</v>
      </c>
      <c r="N39" s="24">
        <f t="shared" si="25"/>
        <v>1372.284</v>
      </c>
      <c r="O39" s="24">
        <f t="shared" si="25"/>
        <v>1377.5030000000002</v>
      </c>
      <c r="R39" s="122"/>
      <c r="S39" s="122"/>
      <c r="T39" s="122"/>
      <c r="U39" s="122"/>
    </row>
    <row r="40" spans="1:21" ht="12" customHeight="1" hidden="1">
      <c r="A40" s="30" t="s">
        <v>261</v>
      </c>
      <c r="B40" s="24">
        <f aca="true" t="shared" si="26" ref="B40:O40">B31+B22+B13</f>
        <v>748</v>
      </c>
      <c r="C40" s="24">
        <f t="shared" si="26"/>
        <v>1048</v>
      </c>
      <c r="D40" s="24">
        <f t="shared" si="26"/>
        <v>1080</v>
      </c>
      <c r="E40" s="24">
        <f t="shared" si="26"/>
        <v>643</v>
      </c>
      <c r="F40" s="24">
        <f t="shared" si="26"/>
        <v>1067.469</v>
      </c>
      <c r="G40" s="24">
        <f t="shared" si="26"/>
        <v>1076.469</v>
      </c>
      <c r="H40" s="24">
        <f t="shared" si="26"/>
        <v>1095</v>
      </c>
      <c r="I40" s="24">
        <f t="shared" si="26"/>
        <v>1093.366</v>
      </c>
      <c r="J40" s="24">
        <f t="shared" si="26"/>
        <v>1102.6</v>
      </c>
      <c r="K40" s="24">
        <f t="shared" si="26"/>
        <v>1108.3000000000002</v>
      </c>
      <c r="L40" s="24">
        <f t="shared" si="26"/>
        <v>1333.5140000000001</v>
      </c>
      <c r="M40" s="24">
        <f t="shared" si="26"/>
        <v>1367.254</v>
      </c>
      <c r="N40" s="24">
        <f t="shared" si="26"/>
        <v>638.984</v>
      </c>
      <c r="O40" s="24">
        <f t="shared" si="26"/>
        <v>639.99</v>
      </c>
      <c r="R40" s="122"/>
      <c r="S40" s="122"/>
      <c r="T40" s="122"/>
      <c r="U40" s="122"/>
    </row>
    <row r="41" spans="1:28" ht="12" customHeight="1">
      <c r="A41" s="46"/>
      <c r="B41" s="47"/>
      <c r="C41" s="47"/>
      <c r="D41" s="47"/>
      <c r="E41" s="48"/>
      <c r="F41" s="48"/>
      <c r="G41" s="48"/>
      <c r="H41" s="34"/>
      <c r="I41" s="34"/>
      <c r="J41" s="34"/>
      <c r="K41" s="65"/>
      <c r="L41" s="34"/>
      <c r="M41" s="88"/>
      <c r="N41" s="98"/>
      <c r="O41" s="98"/>
      <c r="P41" s="96"/>
      <c r="Q41" s="124"/>
      <c r="R41" s="124"/>
      <c r="S41" s="124"/>
      <c r="T41" s="124"/>
      <c r="U41" s="124"/>
      <c r="V41" s="96"/>
      <c r="W41" s="96"/>
      <c r="X41" s="96"/>
      <c r="Y41" s="96"/>
      <c r="Z41" s="96"/>
      <c r="AA41" s="96"/>
      <c r="AB41" s="96"/>
    </row>
    <row r="42" spans="1:11" ht="12" customHeight="1">
      <c r="A42" s="188" t="s">
        <v>1782</v>
      </c>
      <c r="B42" s="51"/>
      <c r="C42" s="51"/>
      <c r="D42" s="51"/>
      <c r="E42" s="52"/>
      <c r="F42" s="52"/>
      <c r="G42" s="52"/>
      <c r="H42" s="4"/>
      <c r="I42" s="4"/>
      <c r="J42" s="4"/>
      <c r="K42" s="58"/>
    </row>
    <row r="43" spans="1:11" ht="12" customHeight="1">
      <c r="A43" s="188" t="s">
        <v>462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31" ht="12" customHeight="1">
      <c r="A44" s="188" t="s">
        <v>1793</v>
      </c>
      <c r="AC44" s="221"/>
      <c r="AD44" s="221"/>
      <c r="AE44" s="221"/>
    </row>
    <row r="45" spans="1:31" ht="12" customHeight="1">
      <c r="A45" s="67" t="s">
        <v>120</v>
      </c>
      <c r="L45" s="36"/>
      <c r="AC45" s="221"/>
      <c r="AD45" s="221"/>
      <c r="AE45" s="221"/>
    </row>
    <row r="46" spans="29:31" ht="12" customHeight="1">
      <c r="AC46" s="221"/>
      <c r="AD46" s="221"/>
      <c r="AE46" s="221"/>
    </row>
    <row r="48" ht="12" customHeight="1">
      <c r="L48" s="86"/>
    </row>
    <row r="90" ht="12" customHeight="1">
      <c r="L90" s="36"/>
    </row>
    <row r="91" ht="12" customHeight="1">
      <c r="L91" s="36"/>
    </row>
    <row r="93" ht="12" customHeight="1">
      <c r="L93" s="86"/>
    </row>
    <row r="136" ht="12" customHeight="1">
      <c r="L136" s="36"/>
    </row>
    <row r="137" ht="12" customHeight="1">
      <c r="L137" s="36"/>
    </row>
    <row r="139" ht="12" customHeight="1">
      <c r="L139" s="86"/>
    </row>
    <row r="182" ht="12" customHeight="1">
      <c r="L182" s="36"/>
    </row>
    <row r="185" ht="12" customHeight="1">
      <c r="L185" s="86"/>
    </row>
    <row r="813" spans="3:4" ht="12" customHeight="1">
      <c r="C813" s="254"/>
      <c r="D813" s="254"/>
    </row>
  </sheetData>
  <sheetProtection/>
  <printOptions/>
  <pageMargins left="0.5905511811023623" right="0.3937007874015748" top="0.5511811023622047" bottom="0" header="0" footer="0"/>
  <pageSetup fitToHeight="1" fitToWidth="1" horizontalDpi="600" verticalDpi="600" orientation="landscape" paperSize="9" scale="87" r:id="rId1"/>
  <ignoredErrors>
    <ignoredError sqref="N24:V26 N6:V23 N27:V27 L24:M26 N28:R28 T28:U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3"/>
  <sheetViews>
    <sheetView showGridLines="0" zoomScalePageLayoutView="0" workbookViewId="0" topLeftCell="A1">
      <selection activeCell="D16" sqref="D16"/>
    </sheetView>
  </sheetViews>
  <sheetFormatPr defaultColWidth="11.5546875" defaultRowHeight="12" customHeight="1"/>
  <cols>
    <col min="1" max="1" width="20.21484375" style="0" customWidth="1"/>
    <col min="2" max="7" width="6.77734375" style="0" hidden="1" customWidth="1"/>
    <col min="8" max="8" width="5.77734375" style="0" hidden="1" customWidth="1"/>
    <col min="9" max="11" width="6.77734375" style="0" hidden="1" customWidth="1"/>
    <col min="12" max="12" width="6.77734375" style="21" hidden="1" customWidth="1"/>
    <col min="13" max="13" width="6.77734375" style="67" customWidth="1"/>
    <col min="14" max="21" width="6.77734375" style="0" customWidth="1"/>
    <col min="22" max="28" width="6.99609375" style="0" customWidth="1"/>
  </cols>
  <sheetData>
    <row r="1" spans="1:11" ht="15" customHeight="1">
      <c r="A1" s="1" t="s">
        <v>1835</v>
      </c>
      <c r="B1" s="2"/>
      <c r="C1" s="2"/>
      <c r="D1" s="2"/>
      <c r="E1" s="21"/>
      <c r="F1" s="21"/>
      <c r="G1" s="37"/>
      <c r="H1" s="4"/>
      <c r="I1" s="4"/>
      <c r="J1" s="4"/>
      <c r="K1" s="58"/>
    </row>
    <row r="2" spans="1:12" ht="12" customHeight="1">
      <c r="A2" s="1"/>
      <c r="B2" s="6"/>
      <c r="C2" s="6"/>
      <c r="D2" s="6"/>
      <c r="E2" s="36"/>
      <c r="F2" s="36"/>
      <c r="G2" s="36"/>
      <c r="H2" s="8"/>
      <c r="I2" s="8"/>
      <c r="J2" s="8"/>
      <c r="K2" s="59"/>
      <c r="L2" s="36"/>
    </row>
    <row r="3" spans="1:28" ht="12" customHeight="1">
      <c r="A3" s="38"/>
      <c r="B3" s="11" t="s">
        <v>1768</v>
      </c>
      <c r="C3" s="11"/>
      <c r="D3" s="11"/>
      <c r="E3" s="11"/>
      <c r="F3" s="11"/>
      <c r="G3" s="12"/>
      <c r="H3" s="39"/>
      <c r="I3" s="39"/>
      <c r="J3" s="10"/>
      <c r="K3" s="13"/>
      <c r="M3" s="87"/>
      <c r="N3" s="87"/>
      <c r="Q3" s="87"/>
      <c r="T3" s="87"/>
      <c r="V3" s="87"/>
      <c r="W3" s="87"/>
      <c r="X3" s="87"/>
      <c r="Z3" s="87"/>
      <c r="AA3" s="87"/>
      <c r="AB3" s="87" t="s">
        <v>252</v>
      </c>
    </row>
    <row r="4" spans="1:28" ht="18" customHeight="1">
      <c r="A4" s="258" t="s">
        <v>254</v>
      </c>
      <c r="B4" s="259" t="s">
        <v>1769</v>
      </c>
      <c r="C4" s="259">
        <v>1991</v>
      </c>
      <c r="D4" s="259">
        <v>1992</v>
      </c>
      <c r="E4" s="260">
        <v>1993</v>
      </c>
      <c r="F4" s="259">
        <v>1994</v>
      </c>
      <c r="G4" s="260">
        <v>1995</v>
      </c>
      <c r="H4" s="260">
        <v>1996</v>
      </c>
      <c r="I4" s="260">
        <v>1997</v>
      </c>
      <c r="J4" s="260">
        <v>1998</v>
      </c>
      <c r="K4" s="261">
        <v>1999</v>
      </c>
      <c r="L4" s="262">
        <v>2000</v>
      </c>
      <c r="M4" s="291">
        <v>2001</v>
      </c>
      <c r="N4" s="291">
        <v>2002</v>
      </c>
      <c r="O4" s="291">
        <v>2003</v>
      </c>
      <c r="P4" s="291">
        <v>2004</v>
      </c>
      <c r="Q4" s="291">
        <v>2005</v>
      </c>
      <c r="R4" s="291">
        <v>2006</v>
      </c>
      <c r="S4" s="291">
        <v>2007</v>
      </c>
      <c r="T4" s="291">
        <v>2008</v>
      </c>
      <c r="U4" s="291">
        <v>2009</v>
      </c>
      <c r="V4" s="291">
        <v>2010</v>
      </c>
      <c r="W4" s="291">
        <v>2011</v>
      </c>
      <c r="X4" s="291">
        <v>2012</v>
      </c>
      <c r="Y4" s="291">
        <v>2013</v>
      </c>
      <c r="Z4" s="291">
        <v>2014</v>
      </c>
      <c r="AA4" s="291">
        <v>2015</v>
      </c>
      <c r="AB4" s="291">
        <v>2016</v>
      </c>
    </row>
    <row r="5" spans="1:11" ht="12" customHeight="1">
      <c r="A5" s="15"/>
      <c r="B5" s="2" t="s">
        <v>1770</v>
      </c>
      <c r="C5" s="2"/>
      <c r="D5" s="2"/>
      <c r="E5" s="21"/>
      <c r="F5" s="21"/>
      <c r="G5" s="21"/>
      <c r="H5" s="4"/>
      <c r="I5" s="4"/>
      <c r="J5" s="4"/>
      <c r="K5" s="58"/>
    </row>
    <row r="6" spans="1:28" ht="12" customHeight="1">
      <c r="A6" s="264" t="s">
        <v>255</v>
      </c>
      <c r="B6" s="267" t="s">
        <v>1771</v>
      </c>
      <c r="C6" s="267">
        <f aca="true" t="shared" si="0" ref="C6:Q6">SUM(C7:C10)</f>
        <v>1105</v>
      </c>
      <c r="D6" s="267">
        <f t="shared" si="0"/>
        <v>1104</v>
      </c>
      <c r="E6" s="267">
        <f t="shared" si="0"/>
        <v>1113.565</v>
      </c>
      <c r="F6" s="267">
        <f t="shared" si="0"/>
        <v>1119.31</v>
      </c>
      <c r="G6" s="267">
        <f t="shared" si="0"/>
        <v>1123.32</v>
      </c>
      <c r="H6" s="267">
        <f t="shared" si="0"/>
        <v>1123</v>
      </c>
      <c r="I6" s="267">
        <f t="shared" si="0"/>
        <v>1127.722</v>
      </c>
      <c r="J6" s="267">
        <f t="shared" si="0"/>
        <v>1140.3</v>
      </c>
      <c r="K6" s="267">
        <f t="shared" si="0"/>
        <v>1139.5</v>
      </c>
      <c r="L6" s="298">
        <f t="shared" si="0"/>
        <v>1129.96</v>
      </c>
      <c r="M6" s="298">
        <f t="shared" si="0"/>
        <v>1174.241</v>
      </c>
      <c r="N6" s="298">
        <f t="shared" si="0"/>
        <v>1169.088</v>
      </c>
      <c r="O6" s="298">
        <f t="shared" si="0"/>
        <v>1181.282</v>
      </c>
      <c r="P6" s="298">
        <f t="shared" si="0"/>
        <v>1191.788</v>
      </c>
      <c r="Q6" s="298">
        <f t="shared" si="0"/>
        <v>1161.622</v>
      </c>
      <c r="R6" s="298">
        <f aca="true" t="shared" si="1" ref="R6:W6">SUM(R7:R10)</f>
        <v>1203.797</v>
      </c>
      <c r="S6" s="298">
        <f t="shared" si="1"/>
        <v>1140.8</v>
      </c>
      <c r="T6" s="298">
        <f t="shared" si="1"/>
        <v>1129.175</v>
      </c>
      <c r="U6" s="298">
        <f t="shared" si="1"/>
        <v>1162.8880000000001</v>
      </c>
      <c r="V6" s="298">
        <f t="shared" si="1"/>
        <v>1109</v>
      </c>
      <c r="W6" s="298">
        <f t="shared" si="1"/>
        <v>1118.373</v>
      </c>
      <c r="X6" s="298">
        <f>SUM(X7:X10)</f>
        <v>1119.987</v>
      </c>
      <c r="Y6" s="298">
        <f>SUM(Y7:Y10)</f>
        <v>1118</v>
      </c>
      <c r="Z6" s="298">
        <f>SUM(Z7:Z10)</f>
        <v>1132.512</v>
      </c>
      <c r="AA6" s="298">
        <f>SUM(AA7:AA10)</f>
        <v>1132.8</v>
      </c>
      <c r="AB6" s="298">
        <f>SUM(AB7:AB10)</f>
        <v>1131.4</v>
      </c>
    </row>
    <row r="7" spans="1:28" ht="12" customHeight="1">
      <c r="A7" s="20" t="s">
        <v>300</v>
      </c>
      <c r="B7" s="28" t="s">
        <v>1772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43">
        <v>12.2</v>
      </c>
      <c r="K7" s="58">
        <v>12</v>
      </c>
      <c r="L7" s="21">
        <v>10.59</v>
      </c>
      <c r="M7" s="21">
        <v>10.59</v>
      </c>
      <c r="N7" s="89">
        <v>10.587</v>
      </c>
      <c r="O7" s="89">
        <v>10.587</v>
      </c>
      <c r="P7" s="89">
        <v>10.587</v>
      </c>
      <c r="Q7" s="89">
        <v>10.587</v>
      </c>
      <c r="R7" s="89">
        <v>10.587</v>
      </c>
      <c r="S7" s="89">
        <v>10.59</v>
      </c>
      <c r="T7" s="89">
        <v>11</v>
      </c>
      <c r="U7" s="89">
        <v>10.587</v>
      </c>
      <c r="V7" s="89">
        <v>11</v>
      </c>
      <c r="W7" s="158">
        <v>10.587</v>
      </c>
      <c r="X7" s="173">
        <v>10.587</v>
      </c>
      <c r="Y7" s="182">
        <v>11</v>
      </c>
      <c r="Z7" s="182">
        <v>10.587</v>
      </c>
      <c r="AA7" s="182">
        <v>10.6</v>
      </c>
      <c r="AB7" s="182">
        <v>10.6</v>
      </c>
    </row>
    <row r="8" spans="1:28" ht="12" customHeight="1">
      <c r="A8" s="268" t="s">
        <v>301</v>
      </c>
      <c r="B8" s="304" t="s">
        <v>1773</v>
      </c>
      <c r="C8" s="304">
        <v>0</v>
      </c>
      <c r="D8" s="304">
        <v>0</v>
      </c>
      <c r="E8" s="304">
        <v>0</v>
      </c>
      <c r="F8" s="304">
        <v>0</v>
      </c>
      <c r="G8" s="304">
        <v>0</v>
      </c>
      <c r="H8" s="304">
        <v>0</v>
      </c>
      <c r="I8" s="304">
        <v>0</v>
      </c>
      <c r="J8" s="304">
        <v>0</v>
      </c>
      <c r="K8" s="304">
        <v>0</v>
      </c>
      <c r="L8" s="271">
        <v>0</v>
      </c>
      <c r="M8" s="300">
        <v>0</v>
      </c>
      <c r="N8" s="300">
        <v>0</v>
      </c>
      <c r="O8" s="300">
        <v>0</v>
      </c>
      <c r="P8" s="300">
        <v>0</v>
      </c>
      <c r="Q8" s="300">
        <v>0</v>
      </c>
      <c r="R8" s="300">
        <v>0</v>
      </c>
      <c r="S8" s="300">
        <v>0</v>
      </c>
      <c r="T8" s="300">
        <v>14.685</v>
      </c>
      <c r="U8" s="300">
        <v>14.685</v>
      </c>
      <c r="V8" s="300">
        <v>15</v>
      </c>
      <c r="W8" s="300">
        <v>30.441</v>
      </c>
      <c r="X8" s="300">
        <v>30.4</v>
      </c>
      <c r="Y8" s="302">
        <v>30</v>
      </c>
      <c r="Z8" s="302">
        <v>23.061</v>
      </c>
      <c r="AA8" s="302">
        <v>23.1</v>
      </c>
      <c r="AB8" s="302">
        <v>23.1</v>
      </c>
    </row>
    <row r="9" spans="1:28" ht="12" customHeight="1">
      <c r="A9" s="20" t="s">
        <v>1794</v>
      </c>
      <c r="B9" s="28" t="s">
        <v>1774</v>
      </c>
      <c r="C9" s="2">
        <v>14</v>
      </c>
      <c r="D9" s="2">
        <v>14</v>
      </c>
      <c r="E9" s="3">
        <v>14</v>
      </c>
      <c r="F9" s="3">
        <v>13.771</v>
      </c>
      <c r="G9" s="3">
        <v>14.771</v>
      </c>
      <c r="H9" s="21">
        <v>16</v>
      </c>
      <c r="I9" s="21">
        <v>15.533</v>
      </c>
      <c r="J9" s="21">
        <v>15.6</v>
      </c>
      <c r="K9" s="58">
        <v>15.5</v>
      </c>
      <c r="L9" s="21">
        <v>7.081</v>
      </c>
      <c r="M9" s="89">
        <v>16.97</v>
      </c>
      <c r="N9" s="89">
        <v>16.97</v>
      </c>
      <c r="O9" s="89">
        <v>23.037</v>
      </c>
      <c r="P9" s="89">
        <v>23.037</v>
      </c>
      <c r="Q9" s="89">
        <v>23.075</v>
      </c>
      <c r="R9" s="89">
        <v>23.08</v>
      </c>
      <c r="S9" s="89">
        <v>31.101</v>
      </c>
      <c r="T9" s="89">
        <v>31.101</v>
      </c>
      <c r="U9" s="89">
        <v>31.101</v>
      </c>
      <c r="V9" s="89">
        <v>31</v>
      </c>
      <c r="W9" s="89">
        <v>15.345</v>
      </c>
      <c r="X9" s="89">
        <v>15</v>
      </c>
      <c r="Y9" s="149">
        <v>23</v>
      </c>
      <c r="Z9" s="149">
        <v>22.546</v>
      </c>
      <c r="AA9" s="149">
        <v>22.5</v>
      </c>
      <c r="AB9" s="149">
        <v>22.5</v>
      </c>
    </row>
    <row r="10" spans="1:28" ht="12" customHeight="1">
      <c r="A10" s="268" t="s">
        <v>258</v>
      </c>
      <c r="B10" s="271">
        <f aca="true" t="shared" si="2" ref="B10:K10">SUM(B11:B13)</f>
        <v>1071</v>
      </c>
      <c r="C10" s="271">
        <f t="shared" si="2"/>
        <v>1091</v>
      </c>
      <c r="D10" s="271">
        <f t="shared" si="2"/>
        <v>1090</v>
      </c>
      <c r="E10" s="271">
        <f t="shared" si="2"/>
        <v>1099.565</v>
      </c>
      <c r="F10" s="271">
        <f t="shared" si="2"/>
        <v>1105.539</v>
      </c>
      <c r="G10" s="271">
        <f t="shared" si="2"/>
        <v>1108.549</v>
      </c>
      <c r="H10" s="271">
        <f t="shared" si="2"/>
        <v>1107</v>
      </c>
      <c r="I10" s="271">
        <f t="shared" si="2"/>
        <v>1112.189</v>
      </c>
      <c r="J10" s="271">
        <f t="shared" si="2"/>
        <v>1112.5</v>
      </c>
      <c r="K10" s="271">
        <f t="shared" si="2"/>
        <v>1112</v>
      </c>
      <c r="L10" s="271">
        <v>1112.289</v>
      </c>
      <c r="M10" s="271">
        <v>1146.681</v>
      </c>
      <c r="N10" s="271">
        <v>1141.531</v>
      </c>
      <c r="O10" s="271">
        <v>1147.658</v>
      </c>
      <c r="P10" s="271">
        <v>1158.164</v>
      </c>
      <c r="Q10" s="271">
        <v>1127.96</v>
      </c>
      <c r="R10" s="271">
        <v>1170.13</v>
      </c>
      <c r="S10" s="271">
        <v>1099.109</v>
      </c>
      <c r="T10" s="308">
        <v>1072.389</v>
      </c>
      <c r="U10" s="308">
        <v>1106.515</v>
      </c>
      <c r="V10" s="300">
        <v>1052</v>
      </c>
      <c r="W10" s="300">
        <v>1062</v>
      </c>
      <c r="X10" s="300">
        <v>1064</v>
      </c>
      <c r="Y10" s="300">
        <v>1054</v>
      </c>
      <c r="Z10" s="300">
        <v>1076.318</v>
      </c>
      <c r="AA10" s="300">
        <v>1076.6</v>
      </c>
      <c r="AB10" s="300">
        <v>1075.2</v>
      </c>
    </row>
    <row r="11" spans="1:28" s="130" customFormat="1" ht="12.75" customHeight="1" hidden="1">
      <c r="A11" s="75" t="s">
        <v>259</v>
      </c>
      <c r="B11" s="76">
        <v>17</v>
      </c>
      <c r="C11" s="76">
        <v>8</v>
      </c>
      <c r="D11" s="76">
        <v>8</v>
      </c>
      <c r="E11" s="78">
        <v>8</v>
      </c>
      <c r="F11" s="78">
        <v>7.576</v>
      </c>
      <c r="G11" s="78">
        <v>7.576</v>
      </c>
      <c r="H11" s="79">
        <v>3</v>
      </c>
      <c r="I11" s="79">
        <v>1.71</v>
      </c>
      <c r="J11" s="79">
        <v>1.7</v>
      </c>
      <c r="K11" s="64">
        <v>367</v>
      </c>
      <c r="L11" s="79">
        <v>366.936</v>
      </c>
      <c r="M11" s="95">
        <v>369.036</v>
      </c>
      <c r="N11" s="95">
        <v>367.969</v>
      </c>
      <c r="O11" s="95">
        <f>275.383+92.296</f>
        <v>367.679</v>
      </c>
      <c r="P11" s="79">
        <v>371.768</v>
      </c>
      <c r="Q11" s="95">
        <f>278.415+87.936</f>
        <v>366.351</v>
      </c>
      <c r="R11" s="95">
        <v>367</v>
      </c>
      <c r="S11" s="95">
        <v>367</v>
      </c>
      <c r="T11" s="135">
        <v>310</v>
      </c>
      <c r="U11" s="135"/>
      <c r="X11" s="172"/>
      <c r="Y11" s="172"/>
      <c r="Z11" s="172"/>
      <c r="AA11" s="172"/>
      <c r="AB11" s="172"/>
    </row>
    <row r="12" spans="1:28" s="130" customFormat="1" ht="12" customHeight="1" hidden="1">
      <c r="A12" s="75" t="s">
        <v>260</v>
      </c>
      <c r="B12" s="76">
        <v>786</v>
      </c>
      <c r="C12" s="76">
        <v>880</v>
      </c>
      <c r="D12" s="76">
        <v>869</v>
      </c>
      <c r="E12" s="78">
        <v>1086</v>
      </c>
      <c r="F12" s="78">
        <v>854.286</v>
      </c>
      <c r="G12" s="78">
        <v>854.286</v>
      </c>
      <c r="H12" s="79">
        <v>850</v>
      </c>
      <c r="I12" s="79">
        <v>847.989</v>
      </c>
      <c r="J12" s="79">
        <v>848</v>
      </c>
      <c r="K12" s="64">
        <v>473.3</v>
      </c>
      <c r="L12" s="79">
        <v>473.506</v>
      </c>
      <c r="M12" s="95">
        <v>475.191</v>
      </c>
      <c r="N12" s="95">
        <v>758.384</v>
      </c>
      <c r="O12" s="95">
        <f>430.647+334.686</f>
        <v>765.333</v>
      </c>
      <c r="P12" s="79">
        <v>769.998</v>
      </c>
      <c r="Q12" s="95">
        <f>438.923+318.164</f>
        <v>757.087</v>
      </c>
      <c r="R12" s="95">
        <v>748</v>
      </c>
      <c r="S12" s="95">
        <v>773</v>
      </c>
      <c r="T12" s="135">
        <v>773</v>
      </c>
      <c r="U12" s="135"/>
      <c r="X12" s="172"/>
      <c r="Y12" s="172"/>
      <c r="Z12" s="172"/>
      <c r="AA12" s="172"/>
      <c r="AB12" s="172"/>
    </row>
    <row r="13" spans="1:28" s="130" customFormat="1" ht="12" customHeight="1" hidden="1">
      <c r="A13" s="75" t="s">
        <v>261</v>
      </c>
      <c r="B13" s="76">
        <v>268</v>
      </c>
      <c r="C13" s="76">
        <v>203</v>
      </c>
      <c r="D13" s="76">
        <v>213</v>
      </c>
      <c r="E13" s="78">
        <v>5.565</v>
      </c>
      <c r="F13" s="78">
        <v>243.677</v>
      </c>
      <c r="G13" s="78">
        <v>246.687</v>
      </c>
      <c r="H13" s="79">
        <v>254</v>
      </c>
      <c r="I13" s="79">
        <v>262.49</v>
      </c>
      <c r="J13" s="79">
        <v>262.8</v>
      </c>
      <c r="K13" s="64">
        <v>271.7</v>
      </c>
      <c r="L13" s="79">
        <v>270.844</v>
      </c>
      <c r="M13" s="95">
        <v>297.472</v>
      </c>
      <c r="N13" s="95">
        <v>15.178</v>
      </c>
      <c r="O13" s="95">
        <f>10.365+4.281</f>
        <v>14.646</v>
      </c>
      <c r="P13" s="79">
        <v>14.773</v>
      </c>
      <c r="Q13" s="95">
        <f>10.451+4.068</f>
        <v>14.519</v>
      </c>
      <c r="R13" s="95">
        <v>14</v>
      </c>
      <c r="S13" s="95">
        <v>14</v>
      </c>
      <c r="T13" s="135">
        <v>14</v>
      </c>
      <c r="U13" s="135"/>
      <c r="X13" s="172"/>
      <c r="Y13" s="172"/>
      <c r="Z13" s="172"/>
      <c r="AA13" s="172"/>
      <c r="AB13" s="172"/>
    </row>
    <row r="14" spans="1:28" ht="12" customHeight="1">
      <c r="A14" s="15"/>
      <c r="B14" s="2"/>
      <c r="C14" s="2"/>
      <c r="D14" s="2"/>
      <c r="E14" s="3"/>
      <c r="F14" s="3"/>
      <c r="G14" s="3"/>
      <c r="H14" s="21"/>
      <c r="I14" s="21"/>
      <c r="J14" s="21"/>
      <c r="K14" s="58"/>
      <c r="M14" s="89"/>
      <c r="N14" s="89"/>
      <c r="O14" s="89"/>
      <c r="S14" s="136"/>
      <c r="T14" s="136"/>
      <c r="U14" s="136"/>
      <c r="V14" s="161"/>
      <c r="X14" s="136"/>
      <c r="Y14" s="136"/>
      <c r="Z14" s="136"/>
      <c r="AA14" s="136"/>
      <c r="AB14" s="136"/>
    </row>
    <row r="15" spans="1:28" ht="12" customHeight="1">
      <c r="A15" s="264" t="s">
        <v>262</v>
      </c>
      <c r="B15" s="267">
        <f aca="true" t="shared" si="3" ref="B15:Q15">SUM(B16:B19)</f>
        <v>489</v>
      </c>
      <c r="C15" s="267">
        <f t="shared" si="3"/>
        <v>491</v>
      </c>
      <c r="D15" s="267">
        <f t="shared" si="3"/>
        <v>505</v>
      </c>
      <c r="E15" s="267">
        <f t="shared" si="3"/>
        <v>505</v>
      </c>
      <c r="F15" s="267">
        <f t="shared" si="3"/>
        <v>556</v>
      </c>
      <c r="G15" s="267">
        <f t="shared" si="3"/>
        <v>551</v>
      </c>
      <c r="H15" s="267">
        <f t="shared" si="3"/>
        <v>551</v>
      </c>
      <c r="I15" s="267">
        <f t="shared" si="3"/>
        <v>554</v>
      </c>
      <c r="J15" s="267">
        <f t="shared" si="3"/>
        <v>550</v>
      </c>
      <c r="K15" s="267">
        <f t="shared" si="3"/>
        <v>550</v>
      </c>
      <c r="L15" s="267">
        <f t="shared" si="3"/>
        <v>573</v>
      </c>
      <c r="M15" s="267">
        <f t="shared" si="3"/>
        <v>578</v>
      </c>
      <c r="N15" s="267">
        <f t="shared" si="3"/>
        <v>579</v>
      </c>
      <c r="O15" s="267">
        <f t="shared" si="3"/>
        <v>583</v>
      </c>
      <c r="P15" s="267">
        <f t="shared" si="3"/>
        <v>583</v>
      </c>
      <c r="Q15" s="267">
        <f t="shared" si="3"/>
        <v>579</v>
      </c>
      <c r="R15" s="267">
        <f>SUM(R16:R19)</f>
        <v>583</v>
      </c>
      <c r="S15" s="267">
        <f>SUM(S16:S19)</f>
        <v>568</v>
      </c>
      <c r="T15" s="267">
        <f>SUM(T16:T19)</f>
        <v>541</v>
      </c>
      <c r="U15" s="267">
        <f>SUM(U16:U19)</f>
        <v>559</v>
      </c>
      <c r="V15" s="267">
        <f>SUM(V16:V19)</f>
        <v>562</v>
      </c>
      <c r="W15" s="267">
        <f>SUM(W16:W19)-0.1</f>
        <v>563.4</v>
      </c>
      <c r="X15" s="267">
        <f>SUM(X16:X19)-1</f>
        <v>553.5899999999999</v>
      </c>
      <c r="Y15" s="267">
        <f>SUM(Y16:Y19)</f>
        <v>568</v>
      </c>
      <c r="Z15" s="267">
        <f>SUM(Z16:Z19)</f>
        <v>568.4</v>
      </c>
      <c r="AA15" s="267">
        <f>SUM(AA16:AA19)</f>
        <v>577</v>
      </c>
      <c r="AB15" s="267">
        <f>SUM(AB16:AB19)</f>
        <v>568</v>
      </c>
    </row>
    <row r="16" spans="1:28" ht="12" customHeight="1">
      <c r="A16" s="20" t="s">
        <v>256</v>
      </c>
      <c r="B16" s="2">
        <v>190</v>
      </c>
      <c r="C16" s="2">
        <v>190</v>
      </c>
      <c r="D16" s="2">
        <v>190</v>
      </c>
      <c r="E16" s="3">
        <v>190</v>
      </c>
      <c r="F16" s="3">
        <v>190</v>
      </c>
      <c r="G16" s="3">
        <v>190</v>
      </c>
      <c r="H16" s="21">
        <v>190</v>
      </c>
      <c r="I16" s="21">
        <v>190</v>
      </c>
      <c r="J16" s="21">
        <v>190</v>
      </c>
      <c r="K16" s="58">
        <v>190</v>
      </c>
      <c r="L16" s="21">
        <v>190</v>
      </c>
      <c r="M16" s="89">
        <v>190</v>
      </c>
      <c r="N16" s="89">
        <v>190</v>
      </c>
      <c r="O16" s="89">
        <v>190</v>
      </c>
      <c r="P16" s="21">
        <v>190</v>
      </c>
      <c r="Q16" s="21">
        <v>190</v>
      </c>
      <c r="R16" s="21">
        <v>190</v>
      </c>
      <c r="S16" s="21">
        <v>190</v>
      </c>
      <c r="T16" s="21">
        <v>191</v>
      </c>
      <c r="U16" s="21">
        <v>191</v>
      </c>
      <c r="V16" s="21">
        <v>191</v>
      </c>
      <c r="W16" s="21">
        <v>191.2</v>
      </c>
      <c r="X16" s="21">
        <v>191.2</v>
      </c>
      <c r="Y16" s="21">
        <v>191</v>
      </c>
      <c r="Z16" s="21">
        <v>191</v>
      </c>
      <c r="AA16" s="21">
        <v>191</v>
      </c>
      <c r="AB16" s="21">
        <v>191</v>
      </c>
    </row>
    <row r="17" spans="1:28" ht="12" customHeight="1">
      <c r="A17" s="268" t="s">
        <v>257</v>
      </c>
      <c r="B17" s="269">
        <v>9</v>
      </c>
      <c r="C17" s="269">
        <v>11</v>
      </c>
      <c r="D17" s="269">
        <v>15</v>
      </c>
      <c r="E17" s="270">
        <v>15</v>
      </c>
      <c r="F17" s="270">
        <v>12</v>
      </c>
      <c r="G17" s="270">
        <v>12</v>
      </c>
      <c r="H17" s="271">
        <v>12</v>
      </c>
      <c r="I17" s="271">
        <v>15</v>
      </c>
      <c r="J17" s="271">
        <v>15</v>
      </c>
      <c r="K17" s="273">
        <v>15</v>
      </c>
      <c r="L17" s="271">
        <v>29</v>
      </c>
      <c r="M17" s="300">
        <v>35</v>
      </c>
      <c r="N17" s="300">
        <v>35</v>
      </c>
      <c r="O17" s="300">
        <v>39</v>
      </c>
      <c r="P17" s="271">
        <v>39</v>
      </c>
      <c r="Q17" s="271">
        <v>39</v>
      </c>
      <c r="R17" s="271">
        <v>39</v>
      </c>
      <c r="S17" s="271">
        <v>39</v>
      </c>
      <c r="T17" s="271">
        <v>45</v>
      </c>
      <c r="U17" s="271">
        <v>61</v>
      </c>
      <c r="V17" s="271">
        <v>61</v>
      </c>
      <c r="W17" s="271">
        <v>61.1</v>
      </c>
      <c r="X17" s="271">
        <v>68.89</v>
      </c>
      <c r="Y17" s="271">
        <v>76</v>
      </c>
      <c r="Z17" s="271">
        <v>76.4</v>
      </c>
      <c r="AA17" s="271">
        <v>86</v>
      </c>
      <c r="AB17" s="271">
        <v>90</v>
      </c>
    </row>
    <row r="18" spans="1:28" ht="12" customHeight="1">
      <c r="A18" s="20" t="s">
        <v>1794</v>
      </c>
      <c r="B18" s="2">
        <v>7</v>
      </c>
      <c r="C18" s="2">
        <v>7</v>
      </c>
      <c r="D18" s="2">
        <v>17</v>
      </c>
      <c r="E18" s="3">
        <v>17</v>
      </c>
      <c r="F18" s="3">
        <v>21</v>
      </c>
      <c r="G18" s="3">
        <v>21</v>
      </c>
      <c r="H18" s="21">
        <v>21</v>
      </c>
      <c r="I18" s="21">
        <v>21</v>
      </c>
      <c r="J18" s="21">
        <v>21</v>
      </c>
      <c r="K18" s="58">
        <v>21</v>
      </c>
      <c r="L18" s="21">
        <v>21</v>
      </c>
      <c r="M18" s="89">
        <v>21</v>
      </c>
      <c r="N18" s="89">
        <v>22</v>
      </c>
      <c r="O18" s="89">
        <v>22</v>
      </c>
      <c r="P18" s="21">
        <v>22</v>
      </c>
      <c r="Q18" s="21">
        <v>22</v>
      </c>
      <c r="R18" s="21">
        <v>22</v>
      </c>
      <c r="S18" s="21">
        <v>22</v>
      </c>
      <c r="T18" s="21">
        <v>15</v>
      </c>
      <c r="U18" s="21">
        <v>15</v>
      </c>
      <c r="V18" s="21">
        <v>15</v>
      </c>
      <c r="W18" s="21">
        <v>16.2</v>
      </c>
      <c r="X18" s="21">
        <v>15.5</v>
      </c>
      <c r="Y18" s="21">
        <v>16</v>
      </c>
      <c r="Z18" s="21">
        <v>16</v>
      </c>
      <c r="AA18" s="21">
        <v>16</v>
      </c>
      <c r="AB18" s="21">
        <v>28</v>
      </c>
    </row>
    <row r="19" spans="1:28" ht="12" customHeight="1">
      <c r="A19" s="268" t="s">
        <v>258</v>
      </c>
      <c r="B19" s="271">
        <f aca="true" t="shared" si="4" ref="B19:O19">SUM(B20:B22)</f>
        <v>283</v>
      </c>
      <c r="C19" s="271">
        <f t="shared" si="4"/>
        <v>283</v>
      </c>
      <c r="D19" s="271">
        <f t="shared" si="4"/>
        <v>283</v>
      </c>
      <c r="E19" s="271">
        <f t="shared" si="4"/>
        <v>283</v>
      </c>
      <c r="F19" s="271">
        <f t="shared" si="4"/>
        <v>333</v>
      </c>
      <c r="G19" s="271">
        <f t="shared" si="4"/>
        <v>328</v>
      </c>
      <c r="H19" s="271">
        <f t="shared" si="4"/>
        <v>328</v>
      </c>
      <c r="I19" s="271">
        <f t="shared" si="4"/>
        <v>328</v>
      </c>
      <c r="J19" s="271">
        <f t="shared" si="4"/>
        <v>324</v>
      </c>
      <c r="K19" s="271">
        <f t="shared" si="4"/>
        <v>324</v>
      </c>
      <c r="L19" s="271">
        <f t="shared" si="4"/>
        <v>333</v>
      </c>
      <c r="M19" s="271">
        <f t="shared" si="4"/>
        <v>332</v>
      </c>
      <c r="N19" s="271">
        <f t="shared" si="4"/>
        <v>332</v>
      </c>
      <c r="O19" s="271">
        <f t="shared" si="4"/>
        <v>332</v>
      </c>
      <c r="P19" s="271">
        <v>332</v>
      </c>
      <c r="Q19" s="271">
        <v>328</v>
      </c>
      <c r="R19" s="271">
        <v>332</v>
      </c>
      <c r="S19" s="271">
        <v>317</v>
      </c>
      <c r="T19" s="271">
        <v>290</v>
      </c>
      <c r="U19" s="271">
        <v>292</v>
      </c>
      <c r="V19" s="271">
        <v>295</v>
      </c>
      <c r="W19" s="271">
        <f>295</f>
        <v>295</v>
      </c>
      <c r="X19" s="271">
        <v>279</v>
      </c>
      <c r="Y19" s="271">
        <v>285</v>
      </c>
      <c r="Z19" s="271">
        <v>285</v>
      </c>
      <c r="AA19" s="271">
        <v>284</v>
      </c>
      <c r="AB19" s="271">
        <v>259</v>
      </c>
    </row>
    <row r="20" spans="1:28" ht="12" customHeight="1" hidden="1">
      <c r="A20" s="22" t="s">
        <v>259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79">
        <v>0</v>
      </c>
      <c r="M20" s="95">
        <v>0</v>
      </c>
      <c r="N20" s="95">
        <v>0</v>
      </c>
      <c r="O20" s="95">
        <v>0</v>
      </c>
      <c r="X20" s="136"/>
      <c r="Y20" s="136"/>
      <c r="Z20" s="136"/>
      <c r="AA20" s="136"/>
      <c r="AB20" s="136"/>
    </row>
    <row r="21" spans="1:28" ht="12" customHeight="1" hidden="1">
      <c r="A21" s="22" t="s">
        <v>260</v>
      </c>
      <c r="B21" s="27">
        <v>0</v>
      </c>
      <c r="C21" s="27">
        <v>0</v>
      </c>
      <c r="D21" s="27">
        <v>0</v>
      </c>
      <c r="E21" s="27">
        <v>0</v>
      </c>
      <c r="F21" s="41">
        <v>30</v>
      </c>
      <c r="G21" s="41">
        <v>30</v>
      </c>
      <c r="H21" s="25">
        <v>30</v>
      </c>
      <c r="I21" s="25">
        <v>30</v>
      </c>
      <c r="J21" s="25">
        <v>28</v>
      </c>
      <c r="K21" s="62">
        <v>28</v>
      </c>
      <c r="L21" s="79">
        <v>28</v>
      </c>
      <c r="M21" s="95">
        <v>28</v>
      </c>
      <c r="N21" s="95">
        <v>28</v>
      </c>
      <c r="O21" s="95">
        <v>28</v>
      </c>
      <c r="X21" s="136"/>
      <c r="Y21" s="136"/>
      <c r="Z21" s="136"/>
      <c r="AA21" s="136"/>
      <c r="AB21" s="136"/>
    </row>
    <row r="22" spans="1:28" ht="12" customHeight="1" hidden="1">
      <c r="A22" s="22" t="s">
        <v>261</v>
      </c>
      <c r="B22" s="23">
        <v>283</v>
      </c>
      <c r="C22" s="23">
        <v>283</v>
      </c>
      <c r="D22" s="23">
        <v>283</v>
      </c>
      <c r="E22" s="24">
        <v>283</v>
      </c>
      <c r="F22" s="24">
        <v>303</v>
      </c>
      <c r="G22" s="24">
        <v>298</v>
      </c>
      <c r="H22" s="25">
        <v>298</v>
      </c>
      <c r="I22" s="25">
        <v>298</v>
      </c>
      <c r="J22" s="25">
        <v>296</v>
      </c>
      <c r="K22" s="62">
        <v>296</v>
      </c>
      <c r="L22" s="79">
        <v>305</v>
      </c>
      <c r="M22" s="95">
        <v>304</v>
      </c>
      <c r="N22" s="95">
        <v>304</v>
      </c>
      <c r="O22" s="95">
        <v>304</v>
      </c>
      <c r="X22" s="136"/>
      <c r="Y22" s="136"/>
      <c r="Z22" s="136"/>
      <c r="AA22" s="136"/>
      <c r="AB22" s="136"/>
    </row>
    <row r="23" spans="1:28" ht="12" customHeight="1">
      <c r="A23" s="15"/>
      <c r="B23" s="2"/>
      <c r="C23" s="2"/>
      <c r="D23" s="2"/>
      <c r="E23" s="3"/>
      <c r="F23" s="3"/>
      <c r="G23" s="3"/>
      <c r="H23" s="21"/>
      <c r="I23" s="21"/>
      <c r="J23" s="21"/>
      <c r="K23" s="58"/>
      <c r="M23" s="89"/>
      <c r="N23" s="89"/>
      <c r="O23" s="89"/>
      <c r="X23" s="136"/>
      <c r="Y23" s="136"/>
      <c r="Z23" s="136"/>
      <c r="AA23" s="136"/>
      <c r="AB23" s="136"/>
    </row>
    <row r="24" spans="1:28" s="118" customFormat="1" ht="12" customHeight="1">
      <c r="A24" s="264" t="s">
        <v>270</v>
      </c>
      <c r="B24" s="267">
        <f aca="true" t="shared" si="5" ref="B24:P24">SUM(B25:B28)</f>
        <v>1023</v>
      </c>
      <c r="C24" s="267">
        <f t="shared" si="5"/>
        <v>1029</v>
      </c>
      <c r="D24" s="267">
        <f t="shared" si="5"/>
        <v>1029</v>
      </c>
      <c r="E24" s="267">
        <f t="shared" si="5"/>
        <v>1038</v>
      </c>
      <c r="F24" s="267">
        <f t="shared" si="5"/>
        <v>1038</v>
      </c>
      <c r="G24" s="267">
        <f t="shared" si="5"/>
        <v>1044</v>
      </c>
      <c r="H24" s="267">
        <f t="shared" si="5"/>
        <v>1051</v>
      </c>
      <c r="I24" s="267">
        <f t="shared" si="5"/>
        <v>1050</v>
      </c>
      <c r="J24" s="267">
        <f t="shared" si="5"/>
        <v>1050</v>
      </c>
      <c r="K24" s="267">
        <f t="shared" si="5"/>
        <v>1053.4</v>
      </c>
      <c r="L24" s="267">
        <f t="shared" si="5"/>
        <v>1044</v>
      </c>
      <c r="M24" s="267">
        <f t="shared" si="5"/>
        <v>1018</v>
      </c>
      <c r="N24" s="267">
        <f t="shared" si="5"/>
        <v>1017</v>
      </c>
      <c r="O24" s="267">
        <f t="shared" si="5"/>
        <v>1017</v>
      </c>
      <c r="P24" s="267">
        <f t="shared" si="5"/>
        <v>1018</v>
      </c>
      <c r="Q24" s="267">
        <f aca="true" t="shared" si="6" ref="Q24:V24">SUM(Q25:Q28)</f>
        <v>1018.217</v>
      </c>
      <c r="R24" s="267">
        <f t="shared" si="6"/>
        <v>1014</v>
      </c>
      <c r="S24" s="267">
        <f t="shared" si="6"/>
        <v>1093</v>
      </c>
      <c r="T24" s="267">
        <f t="shared" si="6"/>
        <v>1096</v>
      </c>
      <c r="U24" s="267">
        <f t="shared" si="6"/>
        <v>1092</v>
      </c>
      <c r="V24" s="267">
        <f t="shared" si="6"/>
        <v>1088</v>
      </c>
      <c r="W24" s="267">
        <f aca="true" t="shared" si="7" ref="W24:AB24">SUM(W25:W28)</f>
        <v>1088</v>
      </c>
      <c r="X24" s="267">
        <f t="shared" si="7"/>
        <v>1091</v>
      </c>
      <c r="Y24" s="267">
        <f t="shared" si="7"/>
        <v>1087.5990000000002</v>
      </c>
      <c r="Z24" s="267">
        <f t="shared" si="7"/>
        <v>1084.653</v>
      </c>
      <c r="AA24" s="267">
        <f t="shared" si="7"/>
        <v>1084.7</v>
      </c>
      <c r="AB24" s="267">
        <f t="shared" si="7"/>
        <v>1091.7</v>
      </c>
    </row>
    <row r="25" spans="1:28" s="118" customFormat="1" ht="9.75" customHeight="1">
      <c r="A25" s="110" t="s">
        <v>256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2">
        <v>0</v>
      </c>
      <c r="M25" s="119">
        <v>0</v>
      </c>
      <c r="N25" s="119">
        <v>0</v>
      </c>
      <c r="O25" s="119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50">
        <v>0</v>
      </c>
      <c r="W25" s="150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</row>
    <row r="26" spans="1:28" s="118" customFormat="1" ht="12" customHeight="1">
      <c r="A26" s="278" t="s">
        <v>257</v>
      </c>
      <c r="B26" s="280">
        <v>0</v>
      </c>
      <c r="C26" s="280">
        <v>0</v>
      </c>
      <c r="D26" s="280">
        <v>0</v>
      </c>
      <c r="E26" s="280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74">
        <v>0</v>
      </c>
      <c r="M26" s="308">
        <v>0</v>
      </c>
      <c r="N26" s="308">
        <v>0</v>
      </c>
      <c r="O26" s="308">
        <v>0</v>
      </c>
      <c r="P26" s="308">
        <v>0</v>
      </c>
      <c r="Q26" s="308">
        <v>0</v>
      </c>
      <c r="R26" s="308">
        <v>0</v>
      </c>
      <c r="S26" s="308">
        <v>0</v>
      </c>
      <c r="T26" s="308">
        <v>0</v>
      </c>
      <c r="U26" s="308">
        <v>0</v>
      </c>
      <c r="V26" s="312">
        <v>0</v>
      </c>
      <c r="W26" s="312">
        <v>0</v>
      </c>
      <c r="X26" s="308">
        <v>0</v>
      </c>
      <c r="Y26" s="308">
        <v>0</v>
      </c>
      <c r="Z26" s="308">
        <v>0</v>
      </c>
      <c r="AA26" s="308">
        <v>0</v>
      </c>
      <c r="AB26" s="308">
        <v>0</v>
      </c>
    </row>
    <row r="27" spans="1:28" s="118" customFormat="1" ht="12" customHeight="1">
      <c r="A27" s="20" t="s">
        <v>1794</v>
      </c>
      <c r="B27" s="115">
        <v>11</v>
      </c>
      <c r="C27" s="115">
        <v>11</v>
      </c>
      <c r="D27" s="115">
        <v>11</v>
      </c>
      <c r="E27" s="116">
        <v>11</v>
      </c>
      <c r="F27" s="116">
        <v>11</v>
      </c>
      <c r="G27" s="116">
        <v>11</v>
      </c>
      <c r="H27" s="116">
        <v>12</v>
      </c>
      <c r="I27" s="116">
        <v>11</v>
      </c>
      <c r="J27" s="116">
        <v>11</v>
      </c>
      <c r="K27" s="120">
        <v>11.4</v>
      </c>
      <c r="L27" s="112">
        <v>11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50">
        <v>0</v>
      </c>
      <c r="W27" s="150">
        <v>0</v>
      </c>
      <c r="X27" s="119">
        <v>4</v>
      </c>
      <c r="Y27" s="119">
        <v>5.555</v>
      </c>
      <c r="Z27" s="119">
        <v>6</v>
      </c>
      <c r="AA27" s="119">
        <v>6</v>
      </c>
      <c r="AB27" s="119">
        <v>6</v>
      </c>
    </row>
    <row r="28" spans="1:28" s="118" customFormat="1" ht="12" customHeight="1">
      <c r="A28" s="278" t="s">
        <v>258</v>
      </c>
      <c r="B28" s="274">
        <f aca="true" t="shared" si="8" ref="B28:H28">SUM(B29:B31)</f>
        <v>1012</v>
      </c>
      <c r="C28" s="274">
        <f t="shared" si="8"/>
        <v>1018</v>
      </c>
      <c r="D28" s="274">
        <f t="shared" si="8"/>
        <v>1018</v>
      </c>
      <c r="E28" s="274">
        <f t="shared" si="8"/>
        <v>1027</v>
      </c>
      <c r="F28" s="274">
        <f t="shared" si="8"/>
        <v>1027</v>
      </c>
      <c r="G28" s="274">
        <f t="shared" si="8"/>
        <v>1033</v>
      </c>
      <c r="H28" s="274">
        <f t="shared" si="8"/>
        <v>1039</v>
      </c>
      <c r="I28" s="274">
        <v>1039</v>
      </c>
      <c r="J28" s="274">
        <v>1039</v>
      </c>
      <c r="K28" s="274">
        <v>1042</v>
      </c>
      <c r="L28" s="274">
        <v>1033</v>
      </c>
      <c r="M28" s="274">
        <v>1018</v>
      </c>
      <c r="N28" s="274">
        <v>1017</v>
      </c>
      <c r="O28" s="274">
        <v>1017</v>
      </c>
      <c r="P28" s="308">
        <v>1018</v>
      </c>
      <c r="Q28" s="300">
        <v>1018.217</v>
      </c>
      <c r="R28" s="300">
        <v>1014</v>
      </c>
      <c r="S28" s="300">
        <v>1093</v>
      </c>
      <c r="T28" s="308">
        <v>1096</v>
      </c>
      <c r="U28" s="308">
        <v>1092</v>
      </c>
      <c r="V28" s="312">
        <v>1088</v>
      </c>
      <c r="W28" s="312">
        <v>1088</v>
      </c>
      <c r="X28" s="308">
        <v>1087</v>
      </c>
      <c r="Y28" s="308">
        <f>1082.044</f>
        <v>1082.044</v>
      </c>
      <c r="Z28" s="308">
        <v>1078.653</v>
      </c>
      <c r="AA28" s="308">
        <v>1078.7</v>
      </c>
      <c r="AB28" s="308">
        <v>1085.7</v>
      </c>
    </row>
    <row r="29" spans="1:28" ht="12" customHeight="1" hidden="1">
      <c r="A29" s="22" t="s">
        <v>259</v>
      </c>
      <c r="B29" s="23">
        <v>391</v>
      </c>
      <c r="C29" s="23">
        <v>380</v>
      </c>
      <c r="D29" s="23">
        <v>380</v>
      </c>
      <c r="E29" s="24">
        <v>379</v>
      </c>
      <c r="F29" s="24">
        <v>379</v>
      </c>
      <c r="G29" s="24">
        <v>348</v>
      </c>
      <c r="H29" s="25">
        <v>348</v>
      </c>
      <c r="I29" s="25">
        <v>348</v>
      </c>
      <c r="J29" s="25">
        <v>348</v>
      </c>
      <c r="K29" s="62">
        <v>293</v>
      </c>
      <c r="L29" s="79">
        <v>170</v>
      </c>
      <c r="M29" s="95">
        <v>169</v>
      </c>
      <c r="N29" s="95">
        <v>175</v>
      </c>
      <c r="O29" s="95">
        <v>175</v>
      </c>
      <c r="X29" s="136"/>
      <c r="Y29" s="136"/>
      <c r="Z29" s="136"/>
      <c r="AA29" s="136"/>
      <c r="AB29" s="136"/>
    </row>
    <row r="30" spans="1:28" ht="12" customHeight="1" hidden="1">
      <c r="A30" s="22" t="s">
        <v>260</v>
      </c>
      <c r="B30" s="23">
        <v>413</v>
      </c>
      <c r="C30" s="23">
        <v>415</v>
      </c>
      <c r="D30" s="23">
        <v>411</v>
      </c>
      <c r="E30" s="24">
        <v>400</v>
      </c>
      <c r="F30" s="24">
        <v>400</v>
      </c>
      <c r="G30" s="24">
        <v>493</v>
      </c>
      <c r="H30" s="25">
        <v>487</v>
      </c>
      <c r="I30" s="25">
        <v>487</v>
      </c>
      <c r="J30" s="25">
        <v>487</v>
      </c>
      <c r="K30" s="62">
        <v>530</v>
      </c>
      <c r="L30" s="79">
        <v>451</v>
      </c>
      <c r="M30" s="95">
        <v>452</v>
      </c>
      <c r="N30" s="95">
        <v>431</v>
      </c>
      <c r="O30" s="95">
        <v>431</v>
      </c>
      <c r="X30" s="136"/>
      <c r="Y30" s="136"/>
      <c r="Z30" s="136"/>
      <c r="AA30" s="136"/>
      <c r="AB30" s="136"/>
    </row>
    <row r="31" spans="1:28" ht="12" customHeight="1" hidden="1">
      <c r="A31" s="22" t="s">
        <v>261</v>
      </c>
      <c r="B31" s="23">
        <v>208</v>
      </c>
      <c r="C31" s="23">
        <v>223</v>
      </c>
      <c r="D31" s="23">
        <v>227</v>
      </c>
      <c r="E31" s="24">
        <v>248</v>
      </c>
      <c r="F31" s="24">
        <v>248</v>
      </c>
      <c r="G31" s="24">
        <v>192</v>
      </c>
      <c r="H31" s="25">
        <v>204</v>
      </c>
      <c r="I31" s="25">
        <v>204</v>
      </c>
      <c r="J31" s="25">
        <v>204</v>
      </c>
      <c r="K31" s="62">
        <v>219</v>
      </c>
      <c r="L31" s="79">
        <v>412</v>
      </c>
      <c r="M31" s="95">
        <v>397</v>
      </c>
      <c r="N31" s="95">
        <v>411</v>
      </c>
      <c r="O31" s="95">
        <v>411</v>
      </c>
      <c r="X31" s="136"/>
      <c r="Y31" s="136"/>
      <c r="Z31" s="136"/>
      <c r="AA31" s="136"/>
      <c r="AB31" s="136"/>
    </row>
    <row r="32" spans="1:28" ht="12" customHeight="1">
      <c r="A32" s="15"/>
      <c r="B32" s="2"/>
      <c r="C32" s="2"/>
      <c r="D32" s="2"/>
      <c r="E32" s="3"/>
      <c r="F32" s="3"/>
      <c r="G32" s="3"/>
      <c r="H32" s="21"/>
      <c r="I32" s="21"/>
      <c r="J32" s="21"/>
      <c r="K32" s="58"/>
      <c r="M32" s="89"/>
      <c r="N32" s="89"/>
      <c r="O32" s="89"/>
      <c r="X32" s="136"/>
      <c r="Y32" s="136"/>
      <c r="Z32" s="136"/>
      <c r="AA32" s="136"/>
      <c r="AB32" s="136"/>
    </row>
    <row r="33" spans="1:28" ht="12" customHeight="1">
      <c r="A33" s="305" t="s">
        <v>271</v>
      </c>
      <c r="B33" s="306" t="e">
        <f aca="true" t="shared" si="9" ref="B33:O33">SUM(B34:B37)</f>
        <v>#VALUE!</v>
      </c>
      <c r="C33" s="306">
        <f t="shared" si="9"/>
        <v>2625</v>
      </c>
      <c r="D33" s="306">
        <f t="shared" si="9"/>
        <v>2638</v>
      </c>
      <c r="E33" s="306">
        <f t="shared" si="9"/>
        <v>2656.565</v>
      </c>
      <c r="F33" s="306">
        <f t="shared" si="9"/>
        <v>2713.3100000000004</v>
      </c>
      <c r="G33" s="306">
        <f t="shared" si="9"/>
        <v>2718.32</v>
      </c>
      <c r="H33" s="306">
        <f t="shared" si="9"/>
        <v>2725</v>
      </c>
      <c r="I33" s="306">
        <f t="shared" si="9"/>
        <v>2731.722</v>
      </c>
      <c r="J33" s="306">
        <f t="shared" si="9"/>
        <v>2740.3</v>
      </c>
      <c r="K33" s="306">
        <f t="shared" si="9"/>
        <v>2742.9</v>
      </c>
      <c r="L33" s="306">
        <f t="shared" si="9"/>
        <v>2746.9599999999996</v>
      </c>
      <c r="M33" s="306">
        <f t="shared" si="9"/>
        <v>2770.241</v>
      </c>
      <c r="N33" s="306">
        <f t="shared" si="9"/>
        <v>2765.0879999999997</v>
      </c>
      <c r="O33" s="306">
        <f t="shared" si="9"/>
        <v>2781.2819999999997</v>
      </c>
      <c r="P33" s="306">
        <f aca="true" t="shared" si="10" ref="P33:V33">SUM(P34:P37)</f>
        <v>2792.7879999999996</v>
      </c>
      <c r="Q33" s="306">
        <f t="shared" si="10"/>
        <v>2758.839</v>
      </c>
      <c r="R33" s="306">
        <f t="shared" si="10"/>
        <v>2800.797</v>
      </c>
      <c r="S33" s="306">
        <f t="shared" si="10"/>
        <v>2801.8</v>
      </c>
      <c r="T33" s="306">
        <f t="shared" si="10"/>
        <v>2766.175</v>
      </c>
      <c r="U33" s="306">
        <f t="shared" si="10"/>
        <v>2813.8880000000004</v>
      </c>
      <c r="V33" s="306">
        <f t="shared" si="10"/>
        <v>2759</v>
      </c>
      <c r="W33" s="306">
        <f aca="true" t="shared" si="11" ref="W33:AB33">SUM(W34:W37)</f>
        <v>2769.873</v>
      </c>
      <c r="X33" s="306">
        <f t="shared" si="11"/>
        <v>2765.577</v>
      </c>
      <c r="Y33" s="306">
        <f t="shared" si="11"/>
        <v>2773.5989999999997</v>
      </c>
      <c r="Z33" s="306">
        <f t="shared" si="11"/>
        <v>2785.565</v>
      </c>
      <c r="AA33" s="306">
        <f t="shared" si="11"/>
        <v>2794.5</v>
      </c>
      <c r="AB33" s="306">
        <f t="shared" si="11"/>
        <v>2791.1</v>
      </c>
    </row>
    <row r="34" spans="1:28" ht="12" customHeight="1">
      <c r="A34" s="20" t="s">
        <v>256</v>
      </c>
      <c r="B34" s="3" t="e">
        <f aca="true" t="shared" si="12" ref="B34:O34">B25+B16+B7</f>
        <v>#VALUE!</v>
      </c>
      <c r="C34" s="3">
        <f t="shared" si="12"/>
        <v>190</v>
      </c>
      <c r="D34" s="3">
        <f t="shared" si="12"/>
        <v>190</v>
      </c>
      <c r="E34" s="3">
        <f t="shared" si="12"/>
        <v>190</v>
      </c>
      <c r="F34" s="3">
        <f t="shared" si="12"/>
        <v>190</v>
      </c>
      <c r="G34" s="3">
        <f t="shared" si="12"/>
        <v>190</v>
      </c>
      <c r="H34" s="3">
        <f t="shared" si="12"/>
        <v>190</v>
      </c>
      <c r="I34" s="3">
        <f t="shared" si="12"/>
        <v>190</v>
      </c>
      <c r="J34" s="3">
        <f t="shared" si="12"/>
        <v>202.2</v>
      </c>
      <c r="K34" s="3">
        <f t="shared" si="12"/>
        <v>202</v>
      </c>
      <c r="L34" s="3">
        <f t="shared" si="12"/>
        <v>200.59</v>
      </c>
      <c r="M34" s="3">
        <f t="shared" si="12"/>
        <v>200.59</v>
      </c>
      <c r="N34" s="3">
        <f t="shared" si="12"/>
        <v>200.587</v>
      </c>
      <c r="O34" s="3">
        <f t="shared" si="12"/>
        <v>200.587</v>
      </c>
      <c r="P34" s="3">
        <f aca="true" t="shared" si="13" ref="P34:Q36">P25+P16+P7</f>
        <v>200.587</v>
      </c>
      <c r="Q34" s="3">
        <f t="shared" si="13"/>
        <v>200.587</v>
      </c>
      <c r="R34" s="3">
        <f aca="true" t="shared" si="14" ref="R34:S36">R25+R16+R7</f>
        <v>200.587</v>
      </c>
      <c r="S34" s="3">
        <f t="shared" si="14"/>
        <v>200.59</v>
      </c>
      <c r="T34" s="3">
        <f aca="true" t="shared" si="15" ref="T34:U36">T25+T16+T7</f>
        <v>202</v>
      </c>
      <c r="U34" s="3">
        <f t="shared" si="15"/>
        <v>201.587</v>
      </c>
      <c r="V34" s="3">
        <f aca="true" t="shared" si="16" ref="V34:W36">V25+V16+V7</f>
        <v>202</v>
      </c>
      <c r="W34" s="3">
        <f t="shared" si="16"/>
        <v>201.78699999999998</v>
      </c>
      <c r="X34" s="3">
        <f aca="true" t="shared" si="17" ref="X34:AA36">X25+X16+X7</f>
        <v>201.78699999999998</v>
      </c>
      <c r="Y34" s="3">
        <f t="shared" si="17"/>
        <v>202</v>
      </c>
      <c r="Z34" s="3">
        <f t="shared" si="17"/>
        <v>201.587</v>
      </c>
      <c r="AA34" s="3">
        <f t="shared" si="17"/>
        <v>201.6</v>
      </c>
      <c r="AB34" s="3">
        <f>AB7+AB16+AB25</f>
        <v>201.6</v>
      </c>
    </row>
    <row r="35" spans="1:28" ht="12" customHeight="1">
      <c r="A35" s="268" t="s">
        <v>257</v>
      </c>
      <c r="B35" s="270" t="e">
        <f aca="true" t="shared" si="18" ref="B35:O35">B26+B17+B8</f>
        <v>#VALUE!</v>
      </c>
      <c r="C35" s="270">
        <f t="shared" si="18"/>
        <v>11</v>
      </c>
      <c r="D35" s="270">
        <f t="shared" si="18"/>
        <v>15</v>
      </c>
      <c r="E35" s="270">
        <f t="shared" si="18"/>
        <v>15</v>
      </c>
      <c r="F35" s="270">
        <f t="shared" si="18"/>
        <v>12</v>
      </c>
      <c r="G35" s="270">
        <f t="shared" si="18"/>
        <v>12</v>
      </c>
      <c r="H35" s="270">
        <f t="shared" si="18"/>
        <v>12</v>
      </c>
      <c r="I35" s="270">
        <f t="shared" si="18"/>
        <v>15</v>
      </c>
      <c r="J35" s="270">
        <f t="shared" si="18"/>
        <v>15</v>
      </c>
      <c r="K35" s="270">
        <f t="shared" si="18"/>
        <v>15</v>
      </c>
      <c r="L35" s="270">
        <f t="shared" si="18"/>
        <v>29</v>
      </c>
      <c r="M35" s="270">
        <f t="shared" si="18"/>
        <v>35</v>
      </c>
      <c r="N35" s="270">
        <f t="shared" si="18"/>
        <v>35</v>
      </c>
      <c r="O35" s="270">
        <f t="shared" si="18"/>
        <v>39</v>
      </c>
      <c r="P35" s="270">
        <f t="shared" si="13"/>
        <v>39</v>
      </c>
      <c r="Q35" s="270">
        <f t="shared" si="13"/>
        <v>39</v>
      </c>
      <c r="R35" s="270">
        <f t="shared" si="14"/>
        <v>39</v>
      </c>
      <c r="S35" s="270">
        <f t="shared" si="14"/>
        <v>39</v>
      </c>
      <c r="T35" s="270">
        <f t="shared" si="15"/>
        <v>59.685</v>
      </c>
      <c r="U35" s="270">
        <f t="shared" si="15"/>
        <v>75.685</v>
      </c>
      <c r="V35" s="270">
        <f t="shared" si="16"/>
        <v>76</v>
      </c>
      <c r="W35" s="270">
        <f t="shared" si="16"/>
        <v>91.541</v>
      </c>
      <c r="X35" s="270">
        <f t="shared" si="17"/>
        <v>99.28999999999999</v>
      </c>
      <c r="Y35" s="270">
        <f t="shared" si="17"/>
        <v>106</v>
      </c>
      <c r="Z35" s="270">
        <f t="shared" si="17"/>
        <v>99.46100000000001</v>
      </c>
      <c r="AA35" s="270">
        <f t="shared" si="17"/>
        <v>109.1</v>
      </c>
      <c r="AB35" s="270">
        <f>AB8+AB17+AB26</f>
        <v>113.1</v>
      </c>
    </row>
    <row r="36" spans="1:28" ht="12" customHeight="1">
      <c r="A36" s="20" t="s">
        <v>1794</v>
      </c>
      <c r="B36" s="3" t="e">
        <f aca="true" t="shared" si="19" ref="B36:O36">B27+B18+B9</f>
        <v>#VALUE!</v>
      </c>
      <c r="C36" s="3">
        <f t="shared" si="19"/>
        <v>32</v>
      </c>
      <c r="D36" s="3">
        <f t="shared" si="19"/>
        <v>42</v>
      </c>
      <c r="E36" s="3">
        <f t="shared" si="19"/>
        <v>42</v>
      </c>
      <c r="F36" s="3">
        <f t="shared" si="19"/>
        <v>45.771</v>
      </c>
      <c r="G36" s="3">
        <f t="shared" si="19"/>
        <v>46.771</v>
      </c>
      <c r="H36" s="3">
        <f t="shared" si="19"/>
        <v>49</v>
      </c>
      <c r="I36" s="3">
        <f t="shared" si="19"/>
        <v>47.533</v>
      </c>
      <c r="J36" s="3">
        <f t="shared" si="19"/>
        <v>47.6</v>
      </c>
      <c r="K36" s="3">
        <f t="shared" si="19"/>
        <v>47.9</v>
      </c>
      <c r="L36" s="3">
        <f t="shared" si="19"/>
        <v>39.081</v>
      </c>
      <c r="M36" s="3">
        <f t="shared" si="19"/>
        <v>37.97</v>
      </c>
      <c r="N36" s="3">
        <f t="shared" si="19"/>
        <v>38.97</v>
      </c>
      <c r="O36" s="3">
        <f t="shared" si="19"/>
        <v>45.037</v>
      </c>
      <c r="P36" s="3">
        <f t="shared" si="13"/>
        <v>45.037</v>
      </c>
      <c r="Q36" s="3">
        <f t="shared" si="13"/>
        <v>45.075</v>
      </c>
      <c r="R36" s="3">
        <f t="shared" si="14"/>
        <v>45.08</v>
      </c>
      <c r="S36" s="3">
        <f t="shared" si="14"/>
        <v>53.101</v>
      </c>
      <c r="T36" s="3">
        <f t="shared" si="15"/>
        <v>46.101</v>
      </c>
      <c r="U36" s="3">
        <f t="shared" si="15"/>
        <v>46.101</v>
      </c>
      <c r="V36" s="3">
        <f t="shared" si="16"/>
        <v>46</v>
      </c>
      <c r="W36" s="3">
        <f t="shared" si="16"/>
        <v>31.545</v>
      </c>
      <c r="X36" s="3">
        <f t="shared" si="17"/>
        <v>34.5</v>
      </c>
      <c r="Y36" s="3">
        <f t="shared" si="17"/>
        <v>44.555</v>
      </c>
      <c r="Z36" s="3">
        <f t="shared" si="17"/>
        <v>44.546</v>
      </c>
      <c r="AA36" s="3">
        <f t="shared" si="17"/>
        <v>44.5</v>
      </c>
      <c r="AB36" s="3">
        <f>AB9+AB18+AB27</f>
        <v>56.5</v>
      </c>
    </row>
    <row r="37" spans="1:28" ht="12" customHeight="1">
      <c r="A37" s="268" t="s">
        <v>258</v>
      </c>
      <c r="B37" s="270">
        <f aca="true" t="shared" si="20" ref="B37:H37">SUM(B38:B40)</f>
        <v>2366</v>
      </c>
      <c r="C37" s="270">
        <f t="shared" si="20"/>
        <v>2392</v>
      </c>
      <c r="D37" s="270">
        <f t="shared" si="20"/>
        <v>2391</v>
      </c>
      <c r="E37" s="270">
        <f t="shared" si="20"/>
        <v>2409.565</v>
      </c>
      <c r="F37" s="270">
        <f t="shared" si="20"/>
        <v>2465.539</v>
      </c>
      <c r="G37" s="270">
        <f t="shared" si="20"/>
        <v>2469.549</v>
      </c>
      <c r="H37" s="270">
        <f t="shared" si="20"/>
        <v>2474</v>
      </c>
      <c r="I37" s="270">
        <f aca="true" t="shared" si="21" ref="I37:O37">SUM(I10,I19,I28)</f>
        <v>2479.1890000000003</v>
      </c>
      <c r="J37" s="270">
        <f t="shared" si="21"/>
        <v>2475.5</v>
      </c>
      <c r="K37" s="270">
        <f t="shared" si="21"/>
        <v>2478</v>
      </c>
      <c r="L37" s="270">
        <f t="shared" si="21"/>
        <v>2478.2889999999998</v>
      </c>
      <c r="M37" s="270">
        <f t="shared" si="21"/>
        <v>2496.681</v>
      </c>
      <c r="N37" s="270">
        <f t="shared" si="21"/>
        <v>2490.531</v>
      </c>
      <c r="O37" s="270">
        <f t="shared" si="21"/>
        <v>2496.658</v>
      </c>
      <c r="P37" s="270">
        <f aca="true" t="shared" si="22" ref="P37:U37">SUM(P10,P19,P28)</f>
        <v>2508.1639999999998</v>
      </c>
      <c r="Q37" s="270">
        <f t="shared" si="22"/>
        <v>2474.177</v>
      </c>
      <c r="R37" s="270">
        <f t="shared" si="22"/>
        <v>2516.13</v>
      </c>
      <c r="S37" s="270">
        <f t="shared" si="22"/>
        <v>2509.109</v>
      </c>
      <c r="T37" s="270">
        <f t="shared" si="22"/>
        <v>2458.389</v>
      </c>
      <c r="U37" s="270">
        <f t="shared" si="22"/>
        <v>2490.5150000000003</v>
      </c>
      <c r="V37" s="270">
        <f aca="true" t="shared" si="23" ref="V37:AA37">SUM(V10,V19,V28)</f>
        <v>2435</v>
      </c>
      <c r="W37" s="270">
        <f t="shared" si="23"/>
        <v>2445</v>
      </c>
      <c r="X37" s="270">
        <f t="shared" si="23"/>
        <v>2430</v>
      </c>
      <c r="Y37" s="270">
        <f t="shared" si="23"/>
        <v>2421.044</v>
      </c>
      <c r="Z37" s="270">
        <f t="shared" si="23"/>
        <v>2439.971</v>
      </c>
      <c r="AA37" s="270">
        <f t="shared" si="23"/>
        <v>2439.3</v>
      </c>
      <c r="AB37" s="270">
        <f>AB10+AB19+AB28</f>
        <v>2419.9</v>
      </c>
    </row>
    <row r="38" spans="1:15" ht="12" customHeight="1" hidden="1">
      <c r="A38" s="22" t="s">
        <v>259</v>
      </c>
      <c r="B38" s="24">
        <f aca="true" t="shared" si="24" ref="B38:O38">B29+B20+B11</f>
        <v>408</v>
      </c>
      <c r="C38" s="24">
        <f t="shared" si="24"/>
        <v>388</v>
      </c>
      <c r="D38" s="24">
        <f t="shared" si="24"/>
        <v>388</v>
      </c>
      <c r="E38" s="24">
        <f t="shared" si="24"/>
        <v>387</v>
      </c>
      <c r="F38" s="24">
        <f t="shared" si="24"/>
        <v>386.576</v>
      </c>
      <c r="G38" s="24">
        <f t="shared" si="24"/>
        <v>355.576</v>
      </c>
      <c r="H38" s="24">
        <f t="shared" si="24"/>
        <v>351</v>
      </c>
      <c r="I38" s="24">
        <f t="shared" si="24"/>
        <v>349.71</v>
      </c>
      <c r="J38" s="24">
        <f t="shared" si="24"/>
        <v>349.7</v>
      </c>
      <c r="K38" s="24">
        <f t="shared" si="24"/>
        <v>660</v>
      </c>
      <c r="L38" s="24">
        <f t="shared" si="24"/>
        <v>536.9359999999999</v>
      </c>
      <c r="M38" s="24">
        <f t="shared" si="24"/>
        <v>538.0360000000001</v>
      </c>
      <c r="N38" s="24">
        <f t="shared" si="24"/>
        <v>542.969</v>
      </c>
      <c r="O38" s="24">
        <f t="shared" si="24"/>
        <v>542.679</v>
      </c>
    </row>
    <row r="39" spans="1:15" ht="12" customHeight="1" hidden="1">
      <c r="A39" s="22" t="s">
        <v>260</v>
      </c>
      <c r="B39" s="24">
        <f aca="true" t="shared" si="25" ref="B39:O39">B30+B21+B12</f>
        <v>1199</v>
      </c>
      <c r="C39" s="24">
        <f t="shared" si="25"/>
        <v>1295</v>
      </c>
      <c r="D39" s="24">
        <f t="shared" si="25"/>
        <v>1280</v>
      </c>
      <c r="E39" s="24">
        <f t="shared" si="25"/>
        <v>1486</v>
      </c>
      <c r="F39" s="24">
        <f t="shared" si="25"/>
        <v>1284.286</v>
      </c>
      <c r="G39" s="24">
        <f t="shared" si="25"/>
        <v>1377.286</v>
      </c>
      <c r="H39" s="24">
        <f t="shared" si="25"/>
        <v>1367</v>
      </c>
      <c r="I39" s="24">
        <f t="shared" si="25"/>
        <v>1364.989</v>
      </c>
      <c r="J39" s="24">
        <f t="shared" si="25"/>
        <v>1363</v>
      </c>
      <c r="K39" s="24">
        <f t="shared" si="25"/>
        <v>1031.3</v>
      </c>
      <c r="L39" s="24">
        <f t="shared" si="25"/>
        <v>952.506</v>
      </c>
      <c r="M39" s="24">
        <f t="shared" si="25"/>
        <v>955.191</v>
      </c>
      <c r="N39" s="24">
        <f t="shared" si="25"/>
        <v>1217.384</v>
      </c>
      <c r="O39" s="24">
        <f t="shared" si="25"/>
        <v>1224.333</v>
      </c>
    </row>
    <row r="40" spans="1:15" ht="12" customHeight="1" hidden="1">
      <c r="A40" s="30" t="s">
        <v>261</v>
      </c>
      <c r="B40" s="24">
        <f aca="true" t="shared" si="26" ref="B40:O40">B31+B22+B13</f>
        <v>759</v>
      </c>
      <c r="C40" s="24">
        <f t="shared" si="26"/>
        <v>709</v>
      </c>
      <c r="D40" s="24">
        <f t="shared" si="26"/>
        <v>723</v>
      </c>
      <c r="E40" s="24">
        <f t="shared" si="26"/>
        <v>536.565</v>
      </c>
      <c r="F40" s="24">
        <f t="shared" si="26"/>
        <v>794.677</v>
      </c>
      <c r="G40" s="24">
        <f t="shared" si="26"/>
        <v>736.687</v>
      </c>
      <c r="H40" s="24">
        <f t="shared" si="26"/>
        <v>756</v>
      </c>
      <c r="I40" s="24">
        <f t="shared" si="26"/>
        <v>764.49</v>
      </c>
      <c r="J40" s="24">
        <f t="shared" si="26"/>
        <v>762.8</v>
      </c>
      <c r="K40" s="24">
        <f t="shared" si="26"/>
        <v>786.7</v>
      </c>
      <c r="L40" s="24">
        <f t="shared" si="26"/>
        <v>987.844</v>
      </c>
      <c r="M40" s="24">
        <f t="shared" si="26"/>
        <v>998.472</v>
      </c>
      <c r="N40" s="24">
        <f t="shared" si="26"/>
        <v>730.178</v>
      </c>
      <c r="O40" s="24">
        <f t="shared" si="26"/>
        <v>729.646</v>
      </c>
    </row>
    <row r="41" spans="1:28" ht="12" customHeight="1">
      <c r="A41" s="31"/>
      <c r="B41" s="32"/>
      <c r="C41" s="32"/>
      <c r="D41" s="32"/>
      <c r="E41" s="33"/>
      <c r="F41" s="33"/>
      <c r="G41" s="33"/>
      <c r="H41" s="34"/>
      <c r="I41" s="34"/>
      <c r="J41" s="34"/>
      <c r="K41" s="65"/>
      <c r="L41" s="34"/>
      <c r="M41" s="88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</row>
    <row r="42" spans="1:11" ht="12" customHeight="1">
      <c r="A42" s="188" t="s">
        <v>1782</v>
      </c>
      <c r="B42" s="51"/>
      <c r="C42" s="51"/>
      <c r="D42" s="51"/>
      <c r="E42" s="52"/>
      <c r="F42" s="52"/>
      <c r="G42" s="52"/>
      <c r="H42" s="4"/>
      <c r="I42" s="4"/>
      <c r="J42" s="4"/>
      <c r="K42" s="58"/>
    </row>
    <row r="43" spans="1:11" ht="12" customHeight="1">
      <c r="A43" s="188" t="s">
        <v>462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31" ht="12" customHeight="1">
      <c r="A44" s="188" t="s">
        <v>1793</v>
      </c>
      <c r="AC44" s="221"/>
      <c r="AD44" s="221"/>
      <c r="AE44" s="221"/>
    </row>
    <row r="45" spans="1:31" ht="12" customHeight="1">
      <c r="A45" s="67" t="s">
        <v>120</v>
      </c>
      <c r="L45" s="36"/>
      <c r="AC45" s="221"/>
      <c r="AD45" s="221"/>
      <c r="AE45" s="221"/>
    </row>
    <row r="46" spans="29:31" ht="12" customHeight="1">
      <c r="AC46" s="221"/>
      <c r="AD46" s="221"/>
      <c r="AE46" s="221"/>
    </row>
    <row r="48" ht="12" customHeight="1">
      <c r="L48" s="86"/>
    </row>
    <row r="52" ht="12" customHeight="1">
      <c r="O52" s="188"/>
    </row>
    <row r="90" ht="12" customHeight="1">
      <c r="L90" s="36"/>
    </row>
    <row r="91" ht="12" customHeight="1">
      <c r="L91" s="36"/>
    </row>
    <row r="93" ht="12" customHeight="1">
      <c r="L93" s="86"/>
    </row>
    <row r="136" ht="12" customHeight="1">
      <c r="L136" s="36"/>
    </row>
    <row r="137" ht="12" customHeight="1">
      <c r="L137" s="36"/>
    </row>
    <row r="139" ht="12" customHeight="1">
      <c r="L139" s="86"/>
    </row>
    <row r="182" ht="12" customHeight="1">
      <c r="L182" s="36"/>
    </row>
    <row r="185" ht="12" customHeight="1">
      <c r="L185" s="86"/>
    </row>
    <row r="813" spans="3:4" ht="12" customHeight="1">
      <c r="C813" s="254"/>
      <c r="D813" s="254"/>
    </row>
  </sheetData>
  <sheetProtection/>
  <printOptions/>
  <pageMargins left="0.5905511811023623" right="0.3937007874015748" top="0.5511811023622047" bottom="0" header="0" footer="0"/>
  <pageSetup fitToHeight="1" fitToWidth="1" horizontalDpi="600" verticalDpi="600" orientation="landscape" paperSize="9" scale="87" r:id="rId1"/>
  <ignoredErrors>
    <ignoredError sqref="R6:W9 L6:Q36 R11:W26 R10:V10 R29:W37 R28 T28:U28 R27:V27" formulaRange="1"/>
    <ignoredError sqref="L37:Q37" formula="1" formulaRange="1"/>
    <ignoredError sqref="L38:Q4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E814"/>
  <sheetViews>
    <sheetView zoomScale="120" zoomScaleNormal="120" zoomScalePageLayoutView="0" workbookViewId="0" topLeftCell="A8">
      <selection activeCell="D16" sqref="D16"/>
    </sheetView>
  </sheetViews>
  <sheetFormatPr defaultColWidth="8.88671875" defaultRowHeight="15"/>
  <cols>
    <col min="1" max="1" width="9.77734375" style="0" customWidth="1"/>
    <col min="2" max="2" width="43.10546875" style="0" customWidth="1"/>
    <col min="3" max="3" width="37.77734375" style="0" customWidth="1"/>
    <col min="4" max="4" width="9.77734375" style="0" customWidth="1"/>
  </cols>
  <sheetData>
    <row r="1" spans="1:4" ht="15.75">
      <c r="A1" s="194" t="s">
        <v>1885</v>
      </c>
      <c r="B1" s="195"/>
      <c r="C1" s="164"/>
      <c r="D1" s="196"/>
    </row>
    <row r="2" spans="1:4" ht="15.75">
      <c r="A2" s="194" t="s">
        <v>255</v>
      </c>
      <c r="B2" s="195"/>
      <c r="C2" s="164"/>
      <c r="D2" s="196"/>
    </row>
    <row r="3" spans="1:4" ht="15.75">
      <c r="A3" s="194"/>
      <c r="B3" s="195"/>
      <c r="C3" s="164"/>
      <c r="D3" s="196"/>
    </row>
    <row r="4" spans="1:4" ht="15">
      <c r="A4" s="402" t="s">
        <v>471</v>
      </c>
      <c r="B4" s="403"/>
      <c r="C4" s="197"/>
      <c r="D4" s="198"/>
    </row>
    <row r="5" spans="1:4" ht="15">
      <c r="A5" s="199" t="s">
        <v>472</v>
      </c>
      <c r="B5" s="200"/>
      <c r="C5" s="200" t="s">
        <v>474</v>
      </c>
      <c r="D5" s="201" t="s">
        <v>401</v>
      </c>
    </row>
    <row r="6" spans="1:4" ht="15">
      <c r="A6" s="202"/>
      <c r="B6" s="203"/>
      <c r="C6" s="204"/>
      <c r="D6" s="205"/>
    </row>
    <row r="7" spans="1:4" ht="15">
      <c r="A7" s="441" t="s">
        <v>371</v>
      </c>
      <c r="B7" s="442"/>
      <c r="C7" s="204"/>
      <c r="D7" s="205"/>
    </row>
    <row r="8" spans="1:5" ht="12.75" customHeight="1">
      <c r="A8" s="206" t="s">
        <v>303</v>
      </c>
      <c r="B8" s="171" t="s">
        <v>1886</v>
      </c>
      <c r="C8" s="171" t="s">
        <v>1263</v>
      </c>
      <c r="D8" s="207">
        <v>11.942</v>
      </c>
      <c r="E8" s="214"/>
    </row>
    <row r="9" spans="1:5" ht="12.75" customHeight="1">
      <c r="A9" s="424" t="s">
        <v>303</v>
      </c>
      <c r="B9" s="425" t="s">
        <v>1887</v>
      </c>
      <c r="C9" s="425" t="s">
        <v>304</v>
      </c>
      <c r="D9" s="426">
        <v>7.5</v>
      </c>
      <c r="E9" s="214"/>
    </row>
    <row r="10" spans="1:5" ht="12.75" customHeight="1">
      <c r="A10" s="210" t="s">
        <v>303</v>
      </c>
      <c r="B10" s="180" t="s">
        <v>1888</v>
      </c>
      <c r="C10" s="180" t="s">
        <v>1264</v>
      </c>
      <c r="D10" s="211">
        <v>32.915</v>
      </c>
      <c r="E10" s="214"/>
    </row>
    <row r="11" spans="1:5" ht="12.75" customHeight="1">
      <c r="A11" s="427" t="s">
        <v>306</v>
      </c>
      <c r="B11" s="428" t="s">
        <v>1265</v>
      </c>
      <c r="C11" s="428" t="s">
        <v>1266</v>
      </c>
      <c r="D11" s="429">
        <v>2.291</v>
      </c>
      <c r="E11" s="214"/>
    </row>
    <row r="12" spans="1:5" ht="12.75" customHeight="1">
      <c r="A12" s="212" t="s">
        <v>307</v>
      </c>
      <c r="B12" s="181" t="s">
        <v>308</v>
      </c>
      <c r="C12" s="181" t="s">
        <v>369</v>
      </c>
      <c r="D12" s="213">
        <v>1.66</v>
      </c>
      <c r="E12" s="214"/>
    </row>
    <row r="13" spans="1:5" ht="12.75" customHeight="1">
      <c r="A13" s="424" t="s">
        <v>309</v>
      </c>
      <c r="B13" s="425" t="s">
        <v>379</v>
      </c>
      <c r="C13" s="425" t="s">
        <v>1620</v>
      </c>
      <c r="D13" s="426">
        <v>38.663</v>
      </c>
      <c r="E13" s="214"/>
    </row>
    <row r="14" spans="1:5" ht="12.75" customHeight="1">
      <c r="A14" s="210" t="s">
        <v>309</v>
      </c>
      <c r="B14" s="180" t="s">
        <v>762</v>
      </c>
      <c r="C14" s="180" t="s">
        <v>1621</v>
      </c>
      <c r="D14" s="211">
        <v>50.442</v>
      </c>
      <c r="E14" s="214"/>
    </row>
    <row r="15" spans="1:5" ht="12.75" customHeight="1">
      <c r="A15" s="430" t="s">
        <v>310</v>
      </c>
      <c r="B15" s="431" t="s">
        <v>763</v>
      </c>
      <c r="C15" s="431" t="s">
        <v>764</v>
      </c>
      <c r="D15" s="432">
        <v>14.036</v>
      </c>
      <c r="E15" s="214"/>
    </row>
    <row r="16" spans="1:5" ht="15">
      <c r="A16" s="214"/>
      <c r="B16" s="214"/>
      <c r="C16" s="443" t="s">
        <v>372</v>
      </c>
      <c r="D16" s="444">
        <f>SUM(D8:D15)</f>
        <v>159.44899999999998</v>
      </c>
      <c r="E16" s="214"/>
    </row>
    <row r="17" spans="1:5" ht="15">
      <c r="A17" s="214"/>
      <c r="B17" s="214"/>
      <c r="C17" s="214"/>
      <c r="D17" s="215"/>
      <c r="E17" s="214"/>
    </row>
    <row r="18" spans="1:5" ht="15">
      <c r="A18" s="441" t="s">
        <v>375</v>
      </c>
      <c r="B18" s="445"/>
      <c r="C18" s="214"/>
      <c r="D18" s="215"/>
      <c r="E18" s="214"/>
    </row>
    <row r="19" spans="1:5" ht="12.75" customHeight="1">
      <c r="A19" s="212" t="s">
        <v>309</v>
      </c>
      <c r="B19" s="181" t="s">
        <v>1267</v>
      </c>
      <c r="C19" s="181" t="s">
        <v>379</v>
      </c>
      <c r="D19" s="213">
        <v>10.587</v>
      </c>
      <c r="E19" s="214"/>
    </row>
    <row r="20" spans="3:5" ht="15">
      <c r="C20" s="443" t="s">
        <v>376</v>
      </c>
      <c r="D20" s="444">
        <f>SUM(D19)</f>
        <v>10.587</v>
      </c>
      <c r="E20" s="214"/>
    </row>
    <row r="21" spans="3:5" ht="15">
      <c r="C21" s="165"/>
      <c r="D21" s="217"/>
      <c r="E21" s="214"/>
    </row>
    <row r="22" spans="1:5" ht="15">
      <c r="A22" s="169"/>
      <c r="B22" s="170"/>
      <c r="C22" s="218" t="s">
        <v>382</v>
      </c>
      <c r="D22" s="219">
        <f>D16+D20</f>
        <v>170.03599999999997</v>
      </c>
      <c r="E22" s="214"/>
    </row>
    <row r="23" spans="4:5" ht="15">
      <c r="D23" s="220"/>
      <c r="E23" s="214"/>
    </row>
    <row r="24" spans="1:4" ht="15">
      <c r="A24" s="402" t="s">
        <v>282</v>
      </c>
      <c r="B24" s="404"/>
      <c r="D24" s="220"/>
    </row>
    <row r="25" spans="1:4" ht="15">
      <c r="A25" s="199" t="s">
        <v>472</v>
      </c>
      <c r="B25" s="200" t="s">
        <v>473</v>
      </c>
      <c r="C25" s="200" t="s">
        <v>474</v>
      </c>
      <c r="D25" s="201" t="s">
        <v>401</v>
      </c>
    </row>
    <row r="26" ht="15">
      <c r="D26" s="220"/>
    </row>
    <row r="27" spans="1:4" ht="15">
      <c r="A27" s="441" t="s">
        <v>371</v>
      </c>
      <c r="B27" s="445"/>
      <c r="D27" s="220"/>
    </row>
    <row r="28" spans="1:4" ht="12.75" customHeight="1">
      <c r="A28" s="206" t="s">
        <v>668</v>
      </c>
      <c r="B28" s="171" t="s">
        <v>1622</v>
      </c>
      <c r="C28" s="171" t="s">
        <v>1623</v>
      </c>
      <c r="D28" s="207">
        <v>2.326</v>
      </c>
    </row>
    <row r="29" spans="1:4" ht="12.75" customHeight="1">
      <c r="A29" s="424" t="s">
        <v>668</v>
      </c>
      <c r="B29" s="425" t="s">
        <v>1624</v>
      </c>
      <c r="C29" s="425" t="s">
        <v>1268</v>
      </c>
      <c r="D29" s="426">
        <v>10.124</v>
      </c>
    </row>
    <row r="30" spans="1:4" ht="12.75" customHeight="1">
      <c r="A30" s="206" t="s">
        <v>303</v>
      </c>
      <c r="B30" s="171" t="s">
        <v>305</v>
      </c>
      <c r="C30" s="171" t="s">
        <v>476</v>
      </c>
      <c r="D30" s="207">
        <v>5.46</v>
      </c>
    </row>
    <row r="31" spans="1:4" ht="12.75" customHeight="1">
      <c r="A31" s="424" t="s">
        <v>303</v>
      </c>
      <c r="B31" s="425" t="s">
        <v>476</v>
      </c>
      <c r="C31" s="425" t="s">
        <v>477</v>
      </c>
      <c r="D31" s="426">
        <v>13.435</v>
      </c>
    </row>
    <row r="32" spans="1:4" ht="12.75" customHeight="1">
      <c r="A32" s="208" t="s">
        <v>303</v>
      </c>
      <c r="B32" s="179" t="s">
        <v>304</v>
      </c>
      <c r="C32" s="179" t="s">
        <v>1269</v>
      </c>
      <c r="D32" s="209">
        <v>3.68</v>
      </c>
    </row>
    <row r="33" spans="1:4" ht="12.75" customHeight="1">
      <c r="A33" s="424" t="s">
        <v>303</v>
      </c>
      <c r="B33" s="425" t="s">
        <v>477</v>
      </c>
      <c r="C33" s="425" t="s">
        <v>478</v>
      </c>
      <c r="D33" s="426">
        <v>21.787</v>
      </c>
    </row>
    <row r="34" spans="1:4" ht="12.75" customHeight="1">
      <c r="A34" s="206" t="s">
        <v>319</v>
      </c>
      <c r="B34" s="171" t="s">
        <v>765</v>
      </c>
      <c r="C34" s="171" t="s">
        <v>766</v>
      </c>
      <c r="D34" s="207">
        <v>10.55</v>
      </c>
    </row>
    <row r="35" spans="1:4" ht="12.75" customHeight="1">
      <c r="A35" s="424" t="s">
        <v>319</v>
      </c>
      <c r="B35" s="425" t="s">
        <v>767</v>
      </c>
      <c r="C35" s="425" t="s">
        <v>396</v>
      </c>
      <c r="D35" s="426">
        <v>41.362</v>
      </c>
    </row>
    <row r="36" spans="1:4" ht="12.75" customHeight="1">
      <c r="A36" s="206" t="s">
        <v>320</v>
      </c>
      <c r="B36" s="171" t="s">
        <v>383</v>
      </c>
      <c r="C36" s="171" t="s">
        <v>425</v>
      </c>
      <c r="D36" s="207">
        <v>34.837</v>
      </c>
    </row>
    <row r="37" spans="1:4" ht="12.75" customHeight="1">
      <c r="A37" s="424" t="s">
        <v>320</v>
      </c>
      <c r="B37" s="425" t="s">
        <v>425</v>
      </c>
      <c r="C37" s="425" t="s">
        <v>427</v>
      </c>
      <c r="D37" s="426">
        <v>4.5</v>
      </c>
    </row>
    <row r="38" spans="1:4" ht="12.75" customHeight="1">
      <c r="A38" s="208" t="s">
        <v>320</v>
      </c>
      <c r="B38" s="179" t="s">
        <v>426</v>
      </c>
      <c r="C38" s="179" t="s">
        <v>329</v>
      </c>
      <c r="D38" s="209">
        <v>42.268</v>
      </c>
    </row>
    <row r="39" spans="1:4" ht="12.75" customHeight="1">
      <c r="A39" s="424" t="s">
        <v>320</v>
      </c>
      <c r="B39" s="425" t="s">
        <v>483</v>
      </c>
      <c r="C39" s="425" t="s">
        <v>1889</v>
      </c>
      <c r="D39" s="426">
        <v>17.503</v>
      </c>
    </row>
    <row r="40" spans="1:4" ht="12.75" customHeight="1">
      <c r="A40" s="206" t="s">
        <v>306</v>
      </c>
      <c r="B40" s="171" t="s">
        <v>1625</v>
      </c>
      <c r="C40" s="171" t="s">
        <v>348</v>
      </c>
      <c r="D40" s="207">
        <v>1.936</v>
      </c>
    </row>
    <row r="41" spans="1:4" ht="12.75" customHeight="1">
      <c r="A41" s="424" t="s">
        <v>306</v>
      </c>
      <c r="B41" s="425" t="s">
        <v>348</v>
      </c>
      <c r="C41" s="425" t="s">
        <v>768</v>
      </c>
      <c r="D41" s="426">
        <v>5.5</v>
      </c>
    </row>
    <row r="42" spans="1:4" ht="12.75" customHeight="1">
      <c r="A42" s="208" t="s">
        <v>306</v>
      </c>
      <c r="B42" s="179" t="s">
        <v>428</v>
      </c>
      <c r="C42" s="179" t="s">
        <v>429</v>
      </c>
      <c r="D42" s="209">
        <v>3.74</v>
      </c>
    </row>
    <row r="43" spans="1:4" ht="12.75" customHeight="1">
      <c r="A43" s="424" t="s">
        <v>306</v>
      </c>
      <c r="B43" s="425" t="s">
        <v>429</v>
      </c>
      <c r="C43" s="425" t="s">
        <v>430</v>
      </c>
      <c r="D43" s="426">
        <v>6.708</v>
      </c>
    </row>
    <row r="44" spans="1:31" ht="12.75" customHeight="1">
      <c r="A44" s="208" t="s">
        <v>306</v>
      </c>
      <c r="B44" s="179" t="s">
        <v>430</v>
      </c>
      <c r="C44" s="179" t="s">
        <v>771</v>
      </c>
      <c r="D44" s="209">
        <v>2.107</v>
      </c>
      <c r="AC44" s="221"/>
      <c r="AD44" s="221"/>
      <c r="AE44" s="221"/>
    </row>
    <row r="45" spans="1:31" ht="12.75" customHeight="1">
      <c r="A45" s="424" t="s">
        <v>306</v>
      </c>
      <c r="B45" s="425" t="s">
        <v>780</v>
      </c>
      <c r="C45" s="425" t="s">
        <v>781</v>
      </c>
      <c r="D45" s="426">
        <v>7.209</v>
      </c>
      <c r="AC45" s="221"/>
      <c r="AD45" s="221"/>
      <c r="AE45" s="221"/>
    </row>
    <row r="46" spans="1:31" ht="12.75" customHeight="1">
      <c r="A46" s="210" t="s">
        <v>307</v>
      </c>
      <c r="B46" s="180" t="s">
        <v>369</v>
      </c>
      <c r="C46" s="180" t="s">
        <v>333</v>
      </c>
      <c r="D46" s="211">
        <v>1.094</v>
      </c>
      <c r="AC46" s="221"/>
      <c r="AD46" s="221"/>
      <c r="AE46" s="221"/>
    </row>
    <row r="47" spans="1:4" ht="12.75" customHeight="1">
      <c r="A47" s="430" t="s">
        <v>1030</v>
      </c>
      <c r="B47" s="431" t="s">
        <v>1031</v>
      </c>
      <c r="C47" s="431" t="s">
        <v>1032</v>
      </c>
      <c r="D47" s="432">
        <v>1.668</v>
      </c>
    </row>
    <row r="48" spans="1:4" ht="12.75" customHeight="1">
      <c r="A48" s="206" t="s">
        <v>309</v>
      </c>
      <c r="B48" s="171" t="s">
        <v>479</v>
      </c>
      <c r="C48" s="171" t="s">
        <v>1891</v>
      </c>
      <c r="D48" s="207">
        <v>4.092</v>
      </c>
    </row>
    <row r="49" spans="1:4" ht="12.75" customHeight="1">
      <c r="A49" s="424" t="s">
        <v>309</v>
      </c>
      <c r="B49" s="425" t="s">
        <v>1620</v>
      </c>
      <c r="C49" s="425" t="s">
        <v>1270</v>
      </c>
      <c r="D49" s="429">
        <v>4.63</v>
      </c>
    </row>
    <row r="50" spans="1:4" ht="12.75" customHeight="1">
      <c r="A50" s="212" t="s">
        <v>322</v>
      </c>
      <c r="B50" s="181" t="s">
        <v>475</v>
      </c>
      <c r="C50" s="181" t="s">
        <v>323</v>
      </c>
      <c r="D50" s="211">
        <v>0.986</v>
      </c>
    </row>
    <row r="51" spans="1:4" ht="12.75" customHeight="1">
      <c r="A51" s="430" t="s">
        <v>324</v>
      </c>
      <c r="B51" s="431" t="s">
        <v>1894</v>
      </c>
      <c r="C51" s="431" t="s">
        <v>772</v>
      </c>
      <c r="D51" s="429">
        <v>2.858</v>
      </c>
    </row>
    <row r="52" spans="1:4" ht="12.75" customHeight="1">
      <c r="A52" s="212" t="s">
        <v>312</v>
      </c>
      <c r="B52" s="181" t="s">
        <v>313</v>
      </c>
      <c r="C52" s="181" t="s">
        <v>314</v>
      </c>
      <c r="D52" s="213">
        <v>20.575</v>
      </c>
    </row>
    <row r="53" spans="1:4" ht="12.75" customHeight="1">
      <c r="A53" s="430" t="s">
        <v>1271</v>
      </c>
      <c r="B53" s="431" t="s">
        <v>1272</v>
      </c>
      <c r="C53" s="431" t="s">
        <v>1775</v>
      </c>
      <c r="D53" s="429">
        <v>3.62</v>
      </c>
    </row>
    <row r="54" spans="1:4" ht="12.75" customHeight="1">
      <c r="A54" s="212" t="s">
        <v>325</v>
      </c>
      <c r="B54" s="181" t="s">
        <v>774</v>
      </c>
      <c r="C54" s="181" t="s">
        <v>775</v>
      </c>
      <c r="D54" s="211">
        <v>3.7</v>
      </c>
    </row>
    <row r="55" spans="1:4" ht="12.75" customHeight="1">
      <c r="A55" s="430" t="s">
        <v>315</v>
      </c>
      <c r="B55" s="431" t="s">
        <v>316</v>
      </c>
      <c r="C55" s="431" t="s">
        <v>480</v>
      </c>
      <c r="D55" s="432">
        <v>9.625</v>
      </c>
    </row>
    <row r="56" spans="1:4" ht="15">
      <c r="A56" s="221"/>
      <c r="B56" s="221"/>
      <c r="C56" s="443" t="s">
        <v>372</v>
      </c>
      <c r="D56" s="444">
        <f>SUM(D28:D55)</f>
        <v>287.88</v>
      </c>
    </row>
    <row r="57" ht="15">
      <c r="D57" s="220"/>
    </row>
    <row r="58" spans="1:4" ht="15">
      <c r="A58" s="441" t="s">
        <v>373</v>
      </c>
      <c r="B58" s="445"/>
      <c r="D58" s="220"/>
    </row>
    <row r="59" spans="1:4" ht="12.75" customHeight="1">
      <c r="A59" s="212" t="s">
        <v>319</v>
      </c>
      <c r="B59" s="181" t="s">
        <v>396</v>
      </c>
      <c r="C59" s="181" t="s">
        <v>431</v>
      </c>
      <c r="D59" s="213">
        <v>6.725</v>
      </c>
    </row>
    <row r="60" spans="1:4" ht="12.75" customHeight="1">
      <c r="A60" s="430" t="s">
        <v>320</v>
      </c>
      <c r="B60" s="431" t="s">
        <v>1889</v>
      </c>
      <c r="C60" s="431" t="s">
        <v>432</v>
      </c>
      <c r="D60" s="429">
        <v>36.26</v>
      </c>
    </row>
    <row r="61" spans="1:4" ht="12.75" customHeight="1">
      <c r="A61" s="206" t="s">
        <v>306</v>
      </c>
      <c r="B61" s="171" t="s">
        <v>1626</v>
      </c>
      <c r="C61" s="171" t="s">
        <v>1890</v>
      </c>
      <c r="D61" s="207">
        <v>3.67</v>
      </c>
    </row>
    <row r="62" spans="1:4" ht="12.75" customHeight="1">
      <c r="A62" s="427" t="s">
        <v>306</v>
      </c>
      <c r="B62" s="428" t="s">
        <v>1627</v>
      </c>
      <c r="C62" s="428" t="s">
        <v>434</v>
      </c>
      <c r="D62" s="429">
        <v>19.056</v>
      </c>
    </row>
    <row r="63" spans="1:4" ht="12.75" customHeight="1">
      <c r="A63" s="210" t="s">
        <v>326</v>
      </c>
      <c r="B63" s="180" t="s">
        <v>346</v>
      </c>
      <c r="C63" s="180" t="s">
        <v>776</v>
      </c>
      <c r="D63" s="211">
        <v>17.05</v>
      </c>
    </row>
    <row r="64" spans="1:4" ht="12.75" customHeight="1">
      <c r="A64" s="430" t="s">
        <v>327</v>
      </c>
      <c r="B64" s="431" t="s">
        <v>777</v>
      </c>
      <c r="C64" s="431" t="s">
        <v>481</v>
      </c>
      <c r="D64" s="429">
        <v>7.24</v>
      </c>
    </row>
    <row r="65" spans="3:4" ht="15">
      <c r="C65" s="443" t="s">
        <v>374</v>
      </c>
      <c r="D65" s="444">
        <f>SUM(D59:D64)</f>
        <v>90.00099999999999</v>
      </c>
    </row>
    <row r="66" ht="15">
      <c r="D66" s="220"/>
    </row>
    <row r="67" spans="1:4" ht="15">
      <c r="A67" s="441" t="s">
        <v>380</v>
      </c>
      <c r="B67" s="445"/>
      <c r="D67" s="220"/>
    </row>
    <row r="68" spans="1:4" ht="12.75" customHeight="1">
      <c r="A68" s="206" t="s">
        <v>1009</v>
      </c>
      <c r="B68" s="171" t="s">
        <v>1010</v>
      </c>
      <c r="C68" s="171" t="s">
        <v>435</v>
      </c>
      <c r="D68" s="207">
        <v>4.356</v>
      </c>
    </row>
    <row r="69" spans="1:4" ht="12.75" customHeight="1">
      <c r="A69" s="427" t="s">
        <v>1009</v>
      </c>
      <c r="B69" s="428" t="s">
        <v>1628</v>
      </c>
      <c r="C69" s="428" t="s">
        <v>1629</v>
      </c>
      <c r="D69" s="429">
        <v>5.22</v>
      </c>
    </row>
    <row r="70" spans="1:4" ht="12.75" customHeight="1">
      <c r="A70" s="212" t="s">
        <v>436</v>
      </c>
      <c r="B70" s="181" t="s">
        <v>437</v>
      </c>
      <c r="C70" s="181" t="s">
        <v>438</v>
      </c>
      <c r="D70" s="213">
        <v>3.904</v>
      </c>
    </row>
    <row r="71" spans="1:4" ht="12.75" customHeight="1">
      <c r="A71" s="433" t="s">
        <v>320</v>
      </c>
      <c r="B71" s="434" t="s">
        <v>330</v>
      </c>
      <c r="C71" s="434" t="s">
        <v>778</v>
      </c>
      <c r="D71" s="435">
        <v>6.45</v>
      </c>
    </row>
    <row r="72" spans="1:4" ht="12.75" customHeight="1">
      <c r="A72" s="210" t="s">
        <v>320</v>
      </c>
      <c r="B72" s="180" t="s">
        <v>1444</v>
      </c>
      <c r="C72" s="180" t="s">
        <v>383</v>
      </c>
      <c r="D72" s="211">
        <v>8.45</v>
      </c>
    </row>
    <row r="73" spans="1:4" ht="15">
      <c r="A73" s="214"/>
      <c r="B73" s="214"/>
      <c r="C73" s="443" t="s">
        <v>381</v>
      </c>
      <c r="D73" s="444">
        <f>SUM(D68:D72)</f>
        <v>28.38</v>
      </c>
    </row>
    <row r="74" spans="1:4" ht="15">
      <c r="A74" s="214"/>
      <c r="B74" s="214"/>
      <c r="C74" s="214"/>
      <c r="D74" s="215"/>
    </row>
    <row r="75" spans="1:4" ht="15">
      <c r="A75" s="441" t="s">
        <v>375</v>
      </c>
      <c r="B75" s="445"/>
      <c r="C75" s="214"/>
      <c r="D75" s="215"/>
    </row>
    <row r="76" spans="1:4" ht="12.75" customHeight="1">
      <c r="A76" s="206" t="s">
        <v>339</v>
      </c>
      <c r="B76" s="171" t="s">
        <v>1630</v>
      </c>
      <c r="C76" s="171" t="s">
        <v>779</v>
      </c>
      <c r="D76" s="207">
        <v>5.056</v>
      </c>
    </row>
    <row r="77" spans="1:4" ht="12.75" customHeight="1">
      <c r="A77" s="427" t="s">
        <v>339</v>
      </c>
      <c r="B77" s="428" t="s">
        <v>779</v>
      </c>
      <c r="C77" s="428" t="s">
        <v>1273</v>
      </c>
      <c r="D77" s="429">
        <v>10.22</v>
      </c>
    </row>
    <row r="78" spans="1:4" ht="12.75" customHeight="1">
      <c r="A78" s="212" t="s">
        <v>355</v>
      </c>
      <c r="B78" s="181" t="s">
        <v>1892</v>
      </c>
      <c r="C78" s="181" t="s">
        <v>1893</v>
      </c>
      <c r="D78" s="213">
        <v>7.785</v>
      </c>
    </row>
    <row r="79" spans="1:4" ht="15">
      <c r="A79" s="214"/>
      <c r="B79" s="214"/>
      <c r="C79" s="443" t="s">
        <v>376</v>
      </c>
      <c r="D79" s="444">
        <f>SUM(D76:D78)</f>
        <v>23.061</v>
      </c>
    </row>
    <row r="80" ht="15">
      <c r="D80" s="220"/>
    </row>
    <row r="81" spans="1:4" ht="15">
      <c r="A81" s="169"/>
      <c r="B81" s="170"/>
      <c r="C81" s="218" t="s">
        <v>285</v>
      </c>
      <c r="D81" s="219">
        <f>D56+D65+D73+D79</f>
        <v>429.32199999999995</v>
      </c>
    </row>
    <row r="82" spans="1:4" ht="15">
      <c r="A82" s="167"/>
      <c r="B82" s="168"/>
      <c r="C82" s="222"/>
      <c r="D82" s="223"/>
    </row>
    <row r="83" spans="1:4" ht="15">
      <c r="A83" s="167"/>
      <c r="B83" s="168"/>
      <c r="C83" s="222"/>
      <c r="D83" s="223"/>
    </row>
    <row r="84" spans="1:4" ht="15">
      <c r="A84" s="402" t="s">
        <v>1791</v>
      </c>
      <c r="B84" s="404"/>
      <c r="D84" s="220"/>
    </row>
    <row r="85" spans="1:4" ht="15">
      <c r="A85" s="199" t="s">
        <v>472</v>
      </c>
      <c r="B85" s="200" t="s">
        <v>473</v>
      </c>
      <c r="C85" s="200" t="s">
        <v>474</v>
      </c>
      <c r="D85" s="201" t="s">
        <v>401</v>
      </c>
    </row>
    <row r="86" ht="15">
      <c r="D86" s="220"/>
    </row>
    <row r="87" spans="1:4" ht="15">
      <c r="A87" s="441" t="s">
        <v>371</v>
      </c>
      <c r="B87" s="445"/>
      <c r="D87" s="220"/>
    </row>
    <row r="88" spans="1:4" ht="12.75" customHeight="1">
      <c r="A88" s="212" t="s">
        <v>574</v>
      </c>
      <c r="B88" s="181" t="s">
        <v>1052</v>
      </c>
      <c r="C88" s="181" t="s">
        <v>1053</v>
      </c>
      <c r="D88" s="213">
        <v>2.01</v>
      </c>
    </row>
    <row r="89" spans="1:4" ht="12.75" customHeight="1">
      <c r="A89" s="430" t="s">
        <v>1895</v>
      </c>
      <c r="B89" s="431" t="s">
        <v>1896</v>
      </c>
      <c r="C89" s="431" t="s">
        <v>1897</v>
      </c>
      <c r="D89" s="432">
        <v>1.03</v>
      </c>
    </row>
    <row r="90" spans="1:4" ht="12.75" customHeight="1">
      <c r="A90" s="212" t="s">
        <v>331</v>
      </c>
      <c r="B90" s="181" t="s">
        <v>332</v>
      </c>
      <c r="C90" s="181" t="s">
        <v>782</v>
      </c>
      <c r="D90" s="213">
        <v>1.41</v>
      </c>
    </row>
    <row r="91" spans="1:4" ht="12.75" customHeight="1">
      <c r="A91" s="430" t="s">
        <v>317</v>
      </c>
      <c r="B91" s="431" t="s">
        <v>318</v>
      </c>
      <c r="C91" s="431" t="s">
        <v>347</v>
      </c>
      <c r="D91" s="432">
        <v>0.98</v>
      </c>
    </row>
    <row r="92" spans="1:4" ht="12.75" customHeight="1">
      <c r="A92" s="206" t="s">
        <v>319</v>
      </c>
      <c r="B92" s="171" t="s">
        <v>1632</v>
      </c>
      <c r="C92" s="171" t="s">
        <v>765</v>
      </c>
      <c r="D92" s="207">
        <v>4.449</v>
      </c>
    </row>
    <row r="93" spans="1:4" ht="12.75" customHeight="1">
      <c r="A93" s="427" t="s">
        <v>319</v>
      </c>
      <c r="B93" s="428" t="s">
        <v>766</v>
      </c>
      <c r="C93" s="428" t="s">
        <v>767</v>
      </c>
      <c r="D93" s="429">
        <v>28.999</v>
      </c>
    </row>
    <row r="94" spans="1:4" ht="12.75" customHeight="1">
      <c r="A94" s="208" t="s">
        <v>1898</v>
      </c>
      <c r="B94" s="179" t="s">
        <v>377</v>
      </c>
      <c r="C94" s="179" t="s">
        <v>321</v>
      </c>
      <c r="D94" s="209">
        <v>2.998</v>
      </c>
    </row>
    <row r="95" spans="1:4" ht="12.75" customHeight="1">
      <c r="A95" s="433" t="s">
        <v>334</v>
      </c>
      <c r="B95" s="434" t="s">
        <v>335</v>
      </c>
      <c r="C95" s="434" t="s">
        <v>344</v>
      </c>
      <c r="D95" s="435">
        <v>3.359</v>
      </c>
    </row>
    <row r="96" spans="1:4" ht="12.75" customHeight="1">
      <c r="A96" s="210" t="s">
        <v>334</v>
      </c>
      <c r="B96" s="180" t="s">
        <v>783</v>
      </c>
      <c r="C96" s="180" t="s">
        <v>664</v>
      </c>
      <c r="D96" s="211">
        <v>3.994</v>
      </c>
    </row>
    <row r="97" spans="1:4" ht="12.75" customHeight="1">
      <c r="A97" s="430" t="s">
        <v>324</v>
      </c>
      <c r="B97" s="431" t="s">
        <v>1777</v>
      </c>
      <c r="C97" s="431" t="s">
        <v>1776</v>
      </c>
      <c r="D97" s="432">
        <v>3.53</v>
      </c>
    </row>
    <row r="98" spans="1:4" ht="12.75" customHeight="1">
      <c r="A98" s="212" t="s">
        <v>484</v>
      </c>
      <c r="B98" s="181" t="s">
        <v>744</v>
      </c>
      <c r="C98" s="181" t="s">
        <v>1160</v>
      </c>
      <c r="D98" s="213">
        <v>1.405</v>
      </c>
    </row>
    <row r="99" spans="1:4" ht="15">
      <c r="A99" s="214"/>
      <c r="B99" s="214"/>
      <c r="C99" s="443" t="s">
        <v>372</v>
      </c>
      <c r="D99" s="444">
        <f>SUM(D88:D98)</f>
        <v>54.164</v>
      </c>
    </row>
    <row r="100" spans="1:4" ht="15">
      <c r="A100" s="214"/>
      <c r="B100" s="214"/>
      <c r="C100" s="214"/>
      <c r="D100" s="215"/>
    </row>
    <row r="101" spans="1:4" ht="15">
      <c r="A101" s="441" t="s">
        <v>373</v>
      </c>
      <c r="B101" s="445"/>
      <c r="C101" s="214"/>
      <c r="D101" s="215"/>
    </row>
    <row r="102" spans="1:4" ht="12.75" customHeight="1">
      <c r="A102" s="206" t="s">
        <v>336</v>
      </c>
      <c r="B102" s="171" t="s">
        <v>337</v>
      </c>
      <c r="C102" s="171" t="s">
        <v>338</v>
      </c>
      <c r="D102" s="207">
        <v>3.336</v>
      </c>
    </row>
    <row r="103" spans="1:4" ht="12.75" customHeight="1">
      <c r="A103" s="424" t="s">
        <v>336</v>
      </c>
      <c r="B103" s="425" t="s">
        <v>338</v>
      </c>
      <c r="C103" s="425" t="s">
        <v>384</v>
      </c>
      <c r="D103" s="426">
        <v>6.52</v>
      </c>
    </row>
    <row r="104" spans="1:4" ht="12.75" customHeight="1">
      <c r="A104" s="210" t="s">
        <v>336</v>
      </c>
      <c r="B104" s="180" t="s">
        <v>384</v>
      </c>
      <c r="C104" s="180" t="s">
        <v>1542</v>
      </c>
      <c r="D104" s="211">
        <v>3.87</v>
      </c>
    </row>
    <row r="105" spans="1:4" ht="12.75" customHeight="1">
      <c r="A105" s="430" t="s">
        <v>328</v>
      </c>
      <c r="B105" s="431" t="s">
        <v>523</v>
      </c>
      <c r="C105" s="431" t="s">
        <v>524</v>
      </c>
      <c r="D105" s="432">
        <v>8.104</v>
      </c>
    </row>
    <row r="106" spans="1:4" ht="15">
      <c r="A106" s="214"/>
      <c r="B106" s="214"/>
      <c r="C106" s="443" t="s">
        <v>374</v>
      </c>
      <c r="D106" s="444">
        <f>SUM(D102:D105)</f>
        <v>21.83</v>
      </c>
    </row>
    <row r="107" spans="1:4" ht="15">
      <c r="A107" s="216"/>
      <c r="B107" s="214"/>
      <c r="C107" s="214"/>
      <c r="D107" s="215"/>
    </row>
    <row r="108" spans="1:4" ht="15">
      <c r="A108" s="441" t="s">
        <v>375</v>
      </c>
      <c r="B108" s="445"/>
      <c r="C108" s="214"/>
      <c r="D108" s="215"/>
    </row>
    <row r="109" spans="1:4" ht="12.75" customHeight="1">
      <c r="A109" s="212" t="s">
        <v>339</v>
      </c>
      <c r="B109" s="181" t="s">
        <v>352</v>
      </c>
      <c r="C109" s="181" t="s">
        <v>1541</v>
      </c>
      <c r="D109" s="213">
        <v>4.973</v>
      </c>
    </row>
    <row r="110" spans="1:4" ht="12.75" customHeight="1">
      <c r="A110" s="430" t="s">
        <v>341</v>
      </c>
      <c r="B110" s="431" t="s">
        <v>342</v>
      </c>
      <c r="C110" s="431" t="s">
        <v>343</v>
      </c>
      <c r="D110" s="432">
        <v>10.372</v>
      </c>
    </row>
    <row r="111" spans="1:4" ht="12.75" customHeight="1">
      <c r="A111" s="212" t="s">
        <v>353</v>
      </c>
      <c r="B111" s="181" t="s">
        <v>1543</v>
      </c>
      <c r="C111" s="181" t="s">
        <v>354</v>
      </c>
      <c r="D111" s="213">
        <v>3.662</v>
      </c>
    </row>
    <row r="112" spans="1:4" ht="12.75" customHeight="1">
      <c r="A112" s="430" t="s">
        <v>355</v>
      </c>
      <c r="B112" s="431" t="s">
        <v>439</v>
      </c>
      <c r="C112" s="431" t="s">
        <v>356</v>
      </c>
      <c r="D112" s="432">
        <v>3.539</v>
      </c>
    </row>
    <row r="113" spans="3:4" ht="15">
      <c r="C113" s="443" t="s">
        <v>376</v>
      </c>
      <c r="D113" s="444">
        <f>SUM(D109:D112)</f>
        <v>22.546</v>
      </c>
    </row>
    <row r="114" spans="3:4" ht="15">
      <c r="C114" s="165"/>
      <c r="D114" s="217"/>
    </row>
    <row r="115" spans="1:4" ht="15">
      <c r="A115" s="169"/>
      <c r="B115" s="170"/>
      <c r="C115" s="218" t="s">
        <v>1792</v>
      </c>
      <c r="D115" s="219">
        <f>D99+D106+D113</f>
        <v>98.53999999999999</v>
      </c>
    </row>
    <row r="116" spans="1:5" ht="15">
      <c r="A116" s="167"/>
      <c r="B116" s="168"/>
      <c r="C116" s="222"/>
      <c r="D116" s="223"/>
      <c r="E116" s="214"/>
    </row>
    <row r="117" spans="2:4" ht="15" customHeight="1">
      <c r="B117" s="229"/>
      <c r="D117" s="220"/>
    </row>
    <row r="118" spans="1:4" ht="15">
      <c r="A118" s="402" t="s">
        <v>1540</v>
      </c>
      <c r="B118" s="404"/>
      <c r="C118" s="214"/>
      <c r="D118" s="215"/>
    </row>
    <row r="119" spans="1:4" ht="15">
      <c r="A119" s="199" t="s">
        <v>472</v>
      </c>
      <c r="B119" s="200" t="s">
        <v>473</v>
      </c>
      <c r="C119" s="200" t="s">
        <v>474</v>
      </c>
      <c r="D119" s="201" t="s">
        <v>401</v>
      </c>
    </row>
    <row r="120" spans="1:4" ht="15">
      <c r="A120" s="214"/>
      <c r="B120" s="214"/>
      <c r="C120" s="214"/>
      <c r="D120" s="215"/>
    </row>
    <row r="121" spans="1:4" ht="15">
      <c r="A121" s="441" t="s">
        <v>371</v>
      </c>
      <c r="B121" s="445"/>
      <c r="C121" s="214"/>
      <c r="D121" s="215"/>
    </row>
    <row r="122" spans="1:4" ht="12.75" customHeight="1">
      <c r="A122" s="206" t="s">
        <v>486</v>
      </c>
      <c r="B122" s="171" t="s">
        <v>1506</v>
      </c>
      <c r="C122" s="171" t="s">
        <v>1899</v>
      </c>
      <c r="D122" s="207">
        <v>0.7</v>
      </c>
    </row>
    <row r="123" spans="1:4" ht="12.75" customHeight="1">
      <c r="A123" s="427" t="s">
        <v>486</v>
      </c>
      <c r="B123" s="428" t="s">
        <v>1899</v>
      </c>
      <c r="C123" s="428" t="s">
        <v>1507</v>
      </c>
      <c r="D123" s="429">
        <v>4.862</v>
      </c>
    </row>
    <row r="124" spans="1:4" ht="12.75" customHeight="1">
      <c r="A124" s="212" t="s">
        <v>1033</v>
      </c>
      <c r="B124" s="181" t="s">
        <v>1274</v>
      </c>
      <c r="C124" s="181" t="s">
        <v>1275</v>
      </c>
      <c r="D124" s="213">
        <v>2.38</v>
      </c>
    </row>
    <row r="125" spans="1:4" ht="12.75" customHeight="1">
      <c r="A125" s="430" t="s">
        <v>487</v>
      </c>
      <c r="B125" s="431" t="s">
        <v>385</v>
      </c>
      <c r="C125" s="431" t="s">
        <v>1034</v>
      </c>
      <c r="D125" s="432">
        <v>0.95</v>
      </c>
    </row>
    <row r="126" spans="1:4" ht="12.75" customHeight="1">
      <c r="A126" s="206" t="s">
        <v>488</v>
      </c>
      <c r="B126" s="171" t="s">
        <v>489</v>
      </c>
      <c r="C126" s="171" t="s">
        <v>490</v>
      </c>
      <c r="D126" s="207">
        <v>1.37</v>
      </c>
    </row>
    <row r="127" spans="1:4" ht="12.75" customHeight="1">
      <c r="A127" s="427" t="s">
        <v>488</v>
      </c>
      <c r="B127" s="428" t="s">
        <v>491</v>
      </c>
      <c r="C127" s="428" t="s">
        <v>1035</v>
      </c>
      <c r="D127" s="429">
        <v>8.847</v>
      </c>
    </row>
    <row r="128" spans="1:4" ht="12.75" customHeight="1">
      <c r="A128" s="212" t="s">
        <v>492</v>
      </c>
      <c r="B128" s="181" t="s">
        <v>1036</v>
      </c>
      <c r="C128" s="181" t="s">
        <v>493</v>
      </c>
      <c r="D128" s="213">
        <v>0.855</v>
      </c>
    </row>
    <row r="129" spans="1:4" ht="12.75" customHeight="1">
      <c r="A129" s="433" t="s">
        <v>1276</v>
      </c>
      <c r="B129" s="434" t="s">
        <v>1277</v>
      </c>
      <c r="C129" s="434" t="s">
        <v>1508</v>
      </c>
      <c r="D129" s="435">
        <v>1.172</v>
      </c>
    </row>
    <row r="130" spans="1:4" ht="12.75" customHeight="1">
      <c r="A130" s="210" t="s">
        <v>1276</v>
      </c>
      <c r="B130" s="180" t="s">
        <v>1509</v>
      </c>
      <c r="C130" s="180" t="s">
        <v>1278</v>
      </c>
      <c r="D130" s="211">
        <v>20.552</v>
      </c>
    </row>
    <row r="131" spans="1:4" ht="12.75" customHeight="1">
      <c r="A131" s="430" t="s">
        <v>494</v>
      </c>
      <c r="B131" s="431" t="s">
        <v>386</v>
      </c>
      <c r="C131" s="431" t="s">
        <v>495</v>
      </c>
      <c r="D131" s="432">
        <v>38.372</v>
      </c>
    </row>
    <row r="132" spans="1:4" ht="12.75" customHeight="1">
      <c r="A132" s="206" t="s">
        <v>496</v>
      </c>
      <c r="B132" s="171" t="s">
        <v>497</v>
      </c>
      <c r="C132" s="171" t="s">
        <v>1037</v>
      </c>
      <c r="D132" s="207">
        <v>7.648</v>
      </c>
    </row>
    <row r="133" spans="1:4" ht="12.75" customHeight="1">
      <c r="A133" s="427" t="s">
        <v>496</v>
      </c>
      <c r="B133" s="428" t="s">
        <v>387</v>
      </c>
      <c r="C133" s="428" t="s">
        <v>1038</v>
      </c>
      <c r="D133" s="429">
        <v>1.3</v>
      </c>
    </row>
    <row r="134" spans="1:4" ht="12.75" customHeight="1">
      <c r="A134" s="405" t="s">
        <v>498</v>
      </c>
      <c r="B134" s="406" t="s">
        <v>1510</v>
      </c>
      <c r="C134" s="406" t="s">
        <v>1511</v>
      </c>
      <c r="D134" s="407">
        <v>0.165</v>
      </c>
    </row>
    <row r="135" spans="1:4" ht="12.75" customHeight="1">
      <c r="A135" s="433" t="s">
        <v>499</v>
      </c>
      <c r="B135" s="434" t="s">
        <v>500</v>
      </c>
      <c r="C135" s="434" t="s">
        <v>1039</v>
      </c>
      <c r="D135" s="435">
        <v>3.086</v>
      </c>
    </row>
    <row r="136" spans="1:4" ht="12.75" customHeight="1">
      <c r="A136" s="210" t="s">
        <v>499</v>
      </c>
      <c r="B136" s="180" t="s">
        <v>1040</v>
      </c>
      <c r="C136" s="180" t="s">
        <v>501</v>
      </c>
      <c r="D136" s="211">
        <v>1.259</v>
      </c>
    </row>
    <row r="137" spans="1:4" ht="12.75" customHeight="1">
      <c r="A137" s="430" t="s">
        <v>528</v>
      </c>
      <c r="B137" s="431" t="s">
        <v>1279</v>
      </c>
      <c r="C137" s="431" t="s">
        <v>1512</v>
      </c>
      <c r="D137" s="432">
        <v>4.3</v>
      </c>
    </row>
    <row r="138" spans="1:4" ht="12.75" customHeight="1">
      <c r="A138" s="212" t="s">
        <v>1513</v>
      </c>
      <c r="B138" s="181" t="s">
        <v>1900</v>
      </c>
      <c r="C138" s="181" t="s">
        <v>1901</v>
      </c>
      <c r="D138" s="213">
        <v>1.79</v>
      </c>
    </row>
    <row r="139" spans="1:4" ht="12.75" customHeight="1">
      <c r="A139" s="430" t="s">
        <v>529</v>
      </c>
      <c r="B139" s="431" t="s">
        <v>388</v>
      </c>
      <c r="C139" s="431" t="s">
        <v>1041</v>
      </c>
      <c r="D139" s="432">
        <v>4.989</v>
      </c>
    </row>
    <row r="140" spans="1:4" ht="12.75" customHeight="1">
      <c r="A140" s="206" t="s">
        <v>530</v>
      </c>
      <c r="B140" s="171" t="s">
        <v>389</v>
      </c>
      <c r="C140" s="171" t="s">
        <v>1042</v>
      </c>
      <c r="D140" s="207">
        <v>0.543</v>
      </c>
    </row>
    <row r="141" spans="1:4" ht="12.75" customHeight="1">
      <c r="A141" s="424" t="s">
        <v>530</v>
      </c>
      <c r="B141" s="425" t="s">
        <v>1633</v>
      </c>
      <c r="C141" s="425" t="s">
        <v>1634</v>
      </c>
      <c r="D141" s="426">
        <v>0.52</v>
      </c>
    </row>
    <row r="142" spans="1:4" ht="12.75" customHeight="1">
      <c r="A142" s="210" t="s">
        <v>530</v>
      </c>
      <c r="B142" s="180" t="s">
        <v>390</v>
      </c>
      <c r="C142" s="180" t="s">
        <v>1043</v>
      </c>
      <c r="D142" s="211">
        <v>1.607</v>
      </c>
    </row>
    <row r="143" spans="1:4" ht="12.75" customHeight="1">
      <c r="A143" s="430" t="s">
        <v>532</v>
      </c>
      <c r="B143" s="431" t="s">
        <v>1044</v>
      </c>
      <c r="C143" s="431" t="s">
        <v>533</v>
      </c>
      <c r="D143" s="432">
        <v>3.252</v>
      </c>
    </row>
    <row r="144" spans="1:4" ht="12.75" customHeight="1">
      <c r="A144" s="206" t="s">
        <v>534</v>
      </c>
      <c r="B144" s="171" t="s">
        <v>535</v>
      </c>
      <c r="C144" s="171" t="s">
        <v>536</v>
      </c>
      <c r="D144" s="207">
        <v>2.2</v>
      </c>
    </row>
    <row r="145" spans="1:4" ht="12.75" customHeight="1">
      <c r="A145" s="436" t="s">
        <v>534</v>
      </c>
      <c r="B145" s="428" t="s">
        <v>536</v>
      </c>
      <c r="C145" s="428" t="s">
        <v>1045</v>
      </c>
      <c r="D145" s="429">
        <v>0.785</v>
      </c>
    </row>
    <row r="146" spans="1:4" ht="12.75" customHeight="1">
      <c r="A146" s="405" t="s">
        <v>537</v>
      </c>
      <c r="B146" s="406" t="s">
        <v>1635</v>
      </c>
      <c r="C146" s="406" t="s">
        <v>538</v>
      </c>
      <c r="D146" s="213">
        <v>12.635</v>
      </c>
    </row>
    <row r="147" spans="1:4" ht="12.75" customHeight="1">
      <c r="A147" s="430" t="s">
        <v>539</v>
      </c>
      <c r="B147" s="431" t="s">
        <v>540</v>
      </c>
      <c r="C147" s="431" t="s">
        <v>1046</v>
      </c>
      <c r="D147" s="432">
        <v>14.32</v>
      </c>
    </row>
    <row r="148" spans="1:4" ht="12.75" customHeight="1">
      <c r="A148" s="206" t="s">
        <v>541</v>
      </c>
      <c r="B148" s="171" t="s">
        <v>1047</v>
      </c>
      <c r="C148" s="171" t="s">
        <v>402</v>
      </c>
      <c r="D148" s="207">
        <v>2</v>
      </c>
    </row>
    <row r="149" spans="1:4" ht="12.75" customHeight="1">
      <c r="A149" s="427" t="s">
        <v>541</v>
      </c>
      <c r="B149" s="428" t="s">
        <v>402</v>
      </c>
      <c r="C149" s="428" t="s">
        <v>1280</v>
      </c>
      <c r="D149" s="429">
        <v>2.03</v>
      </c>
    </row>
    <row r="150" spans="1:4" ht="12.75" customHeight="1">
      <c r="A150" s="212" t="s">
        <v>542</v>
      </c>
      <c r="B150" s="181" t="s">
        <v>1048</v>
      </c>
      <c r="C150" s="181" t="s">
        <v>1636</v>
      </c>
      <c r="D150" s="213">
        <v>1.292</v>
      </c>
    </row>
    <row r="151" spans="1:4" ht="12.75" customHeight="1">
      <c r="A151" s="430" t="s">
        <v>565</v>
      </c>
      <c r="B151" s="431" t="s">
        <v>566</v>
      </c>
      <c r="C151" s="431" t="s">
        <v>567</v>
      </c>
      <c r="D151" s="432">
        <v>26.675</v>
      </c>
    </row>
    <row r="152" spans="1:4" ht="12.75" customHeight="1">
      <c r="A152" s="212" t="s">
        <v>568</v>
      </c>
      <c r="B152" s="181" t="s">
        <v>569</v>
      </c>
      <c r="C152" s="181" t="s">
        <v>1514</v>
      </c>
      <c r="D152" s="213">
        <v>3.44</v>
      </c>
    </row>
    <row r="153" spans="1:4" ht="12.75" customHeight="1">
      <c r="A153" s="433" t="s">
        <v>570</v>
      </c>
      <c r="B153" s="434" t="s">
        <v>1050</v>
      </c>
      <c r="C153" s="434" t="s">
        <v>1051</v>
      </c>
      <c r="D153" s="435">
        <v>0.5</v>
      </c>
    </row>
    <row r="154" spans="1:4" ht="12.75" customHeight="1">
      <c r="A154" s="208" t="s">
        <v>570</v>
      </c>
      <c r="B154" s="179" t="s">
        <v>1051</v>
      </c>
      <c r="C154" s="179" t="s">
        <v>1637</v>
      </c>
      <c r="D154" s="209">
        <v>13.49</v>
      </c>
    </row>
    <row r="155" spans="1:4" ht="12.75" customHeight="1">
      <c r="A155" s="427" t="s">
        <v>570</v>
      </c>
      <c r="B155" s="428" t="s">
        <v>1637</v>
      </c>
      <c r="C155" s="428" t="s">
        <v>727</v>
      </c>
      <c r="D155" s="429">
        <v>1.41</v>
      </c>
    </row>
    <row r="156" spans="1:4" ht="12.75" customHeight="1">
      <c r="A156" s="212" t="s">
        <v>571</v>
      </c>
      <c r="B156" s="181" t="s">
        <v>572</v>
      </c>
      <c r="C156" s="181" t="s">
        <v>573</v>
      </c>
      <c r="D156" s="213">
        <v>1.54</v>
      </c>
    </row>
    <row r="157" spans="1:4" ht="12.75" customHeight="1">
      <c r="A157" s="430" t="s">
        <v>575</v>
      </c>
      <c r="B157" s="431" t="s">
        <v>531</v>
      </c>
      <c r="C157" s="431" t="s">
        <v>576</v>
      </c>
      <c r="D157" s="432">
        <v>0.465</v>
      </c>
    </row>
    <row r="158" spans="1:4" ht="12.75" customHeight="1">
      <c r="A158" s="212" t="s">
        <v>577</v>
      </c>
      <c r="B158" s="181" t="s">
        <v>391</v>
      </c>
      <c r="C158" s="181" t="s">
        <v>502</v>
      </c>
      <c r="D158" s="213">
        <v>16.655</v>
      </c>
    </row>
    <row r="159" spans="1:4" ht="12.75" customHeight="1">
      <c r="A159" s="433" t="s">
        <v>579</v>
      </c>
      <c r="B159" s="434" t="s">
        <v>580</v>
      </c>
      <c r="C159" s="434" t="s">
        <v>581</v>
      </c>
      <c r="D159" s="435">
        <v>10.67</v>
      </c>
    </row>
    <row r="160" spans="1:4" ht="12.75" customHeight="1">
      <c r="A160" s="208" t="s">
        <v>579</v>
      </c>
      <c r="B160" s="179" t="s">
        <v>582</v>
      </c>
      <c r="C160" s="179" t="s">
        <v>583</v>
      </c>
      <c r="D160" s="209">
        <v>5</v>
      </c>
    </row>
    <row r="161" spans="1:4" ht="12.75" customHeight="1">
      <c r="A161" s="427" t="s">
        <v>579</v>
      </c>
      <c r="B161" s="428" t="s">
        <v>584</v>
      </c>
      <c r="C161" s="428" t="s">
        <v>585</v>
      </c>
      <c r="D161" s="429">
        <v>8.648</v>
      </c>
    </row>
    <row r="162" spans="1:4" ht="12.75" customHeight="1">
      <c r="A162" s="212" t="s">
        <v>586</v>
      </c>
      <c r="B162" s="181" t="s">
        <v>1281</v>
      </c>
      <c r="C162" s="181" t="s">
        <v>415</v>
      </c>
      <c r="D162" s="213">
        <v>16.66</v>
      </c>
    </row>
    <row r="163" spans="1:4" ht="12.75" customHeight="1">
      <c r="A163" s="430" t="s">
        <v>1179</v>
      </c>
      <c r="B163" s="431" t="s">
        <v>1180</v>
      </c>
      <c r="C163" s="431" t="s">
        <v>1181</v>
      </c>
      <c r="D163" s="432">
        <v>1.81</v>
      </c>
    </row>
    <row r="164" spans="1:4" ht="12.75" customHeight="1">
      <c r="A164" s="212" t="s">
        <v>587</v>
      </c>
      <c r="B164" s="181" t="s">
        <v>588</v>
      </c>
      <c r="C164" s="181" t="s">
        <v>589</v>
      </c>
      <c r="D164" s="213">
        <v>13.803</v>
      </c>
    </row>
    <row r="165" spans="1:4" ht="12.75" customHeight="1">
      <c r="A165" s="430" t="s">
        <v>590</v>
      </c>
      <c r="B165" s="431" t="s">
        <v>588</v>
      </c>
      <c r="C165" s="431" t="s">
        <v>591</v>
      </c>
      <c r="D165" s="432">
        <v>0.7</v>
      </c>
    </row>
    <row r="166" spans="1:4" ht="12.75" customHeight="1">
      <c r="A166" s="212" t="s">
        <v>592</v>
      </c>
      <c r="B166" s="181" t="s">
        <v>593</v>
      </c>
      <c r="C166" s="181" t="s">
        <v>1282</v>
      </c>
      <c r="D166" s="213">
        <v>4.925</v>
      </c>
    </row>
    <row r="167" spans="1:4" ht="12.75" customHeight="1">
      <c r="A167" s="433" t="s">
        <v>594</v>
      </c>
      <c r="B167" s="434" t="s">
        <v>595</v>
      </c>
      <c r="C167" s="434" t="s">
        <v>1795</v>
      </c>
      <c r="D167" s="435">
        <v>5.07</v>
      </c>
    </row>
    <row r="168" spans="1:4" ht="12.75" customHeight="1">
      <c r="A168" s="208" t="s">
        <v>594</v>
      </c>
      <c r="B168" s="179" t="s">
        <v>596</v>
      </c>
      <c r="C168" s="179" t="s">
        <v>392</v>
      </c>
      <c r="D168" s="209">
        <v>4.71</v>
      </c>
    </row>
    <row r="169" spans="1:4" ht="12.75" customHeight="1">
      <c r="A169" s="427" t="s">
        <v>594</v>
      </c>
      <c r="B169" s="428" t="s">
        <v>392</v>
      </c>
      <c r="C169" s="428" t="s">
        <v>597</v>
      </c>
      <c r="D169" s="429">
        <v>24.19</v>
      </c>
    </row>
    <row r="170" spans="1:4" ht="12.75" customHeight="1">
      <c r="A170" s="206" t="s">
        <v>1283</v>
      </c>
      <c r="B170" s="171" t="s">
        <v>1182</v>
      </c>
      <c r="C170" s="171" t="s">
        <v>1638</v>
      </c>
      <c r="D170" s="207">
        <v>1</v>
      </c>
    </row>
    <row r="171" spans="1:4" ht="12.75" customHeight="1">
      <c r="A171" s="427" t="s">
        <v>1283</v>
      </c>
      <c r="B171" s="428" t="s">
        <v>1638</v>
      </c>
      <c r="C171" s="428" t="s">
        <v>1284</v>
      </c>
      <c r="D171" s="429">
        <v>14.159</v>
      </c>
    </row>
    <row r="172" spans="1:4" ht="12.75" customHeight="1">
      <c r="A172" s="212" t="s">
        <v>598</v>
      </c>
      <c r="B172" s="181" t="s">
        <v>599</v>
      </c>
      <c r="C172" s="181" t="s">
        <v>600</v>
      </c>
      <c r="D172" s="213">
        <v>1.55</v>
      </c>
    </row>
    <row r="173" spans="1:4" ht="12.75" customHeight="1">
      <c r="A173" s="430" t="s">
        <v>1285</v>
      </c>
      <c r="B173" s="431" t="s">
        <v>1796</v>
      </c>
      <c r="C173" s="431" t="s">
        <v>1286</v>
      </c>
      <c r="D173" s="432">
        <v>1.002</v>
      </c>
    </row>
    <row r="174" spans="1:4" ht="12.75" customHeight="1">
      <c r="A174" s="212" t="s">
        <v>601</v>
      </c>
      <c r="B174" s="181" t="s">
        <v>1902</v>
      </c>
      <c r="C174" s="181" t="s">
        <v>602</v>
      </c>
      <c r="D174" s="213">
        <v>14.08</v>
      </c>
    </row>
    <row r="175" spans="1:4" ht="12.75" customHeight="1">
      <c r="A175" s="430" t="s">
        <v>603</v>
      </c>
      <c r="B175" s="431" t="s">
        <v>604</v>
      </c>
      <c r="C175" s="431" t="s">
        <v>605</v>
      </c>
      <c r="D175" s="432">
        <v>1.6</v>
      </c>
    </row>
    <row r="176" spans="1:4" ht="12.75" customHeight="1">
      <c r="A176" s="212" t="s">
        <v>606</v>
      </c>
      <c r="B176" s="181" t="s">
        <v>1054</v>
      </c>
      <c r="C176" s="181" t="s">
        <v>1055</v>
      </c>
      <c r="D176" s="213">
        <v>12.36</v>
      </c>
    </row>
    <row r="177" spans="1:4" ht="12.75" customHeight="1">
      <c r="A177" s="430" t="s">
        <v>607</v>
      </c>
      <c r="B177" s="431" t="s">
        <v>608</v>
      </c>
      <c r="C177" s="431" t="s">
        <v>1056</v>
      </c>
      <c r="D177" s="432">
        <v>0.25</v>
      </c>
    </row>
    <row r="178" spans="1:4" ht="12.75" customHeight="1">
      <c r="A178" s="212" t="s">
        <v>609</v>
      </c>
      <c r="B178" s="181" t="s">
        <v>1057</v>
      </c>
      <c r="C178" s="181" t="s">
        <v>1058</v>
      </c>
      <c r="D178" s="213">
        <v>0.503</v>
      </c>
    </row>
    <row r="179" spans="1:4" ht="12.75" customHeight="1">
      <c r="A179" s="430" t="s">
        <v>610</v>
      </c>
      <c r="B179" s="431" t="s">
        <v>1639</v>
      </c>
      <c r="C179" s="431" t="s">
        <v>1640</v>
      </c>
      <c r="D179" s="432">
        <v>1.4</v>
      </c>
    </row>
    <row r="180" spans="1:4" ht="12.75" customHeight="1">
      <c r="A180" s="212" t="s">
        <v>611</v>
      </c>
      <c r="B180" s="181" t="s">
        <v>1059</v>
      </c>
      <c r="C180" s="181" t="s">
        <v>1060</v>
      </c>
      <c r="D180" s="213">
        <v>7.78</v>
      </c>
    </row>
    <row r="181" spans="1:4" ht="12.75" customHeight="1">
      <c r="A181" s="430" t="s">
        <v>612</v>
      </c>
      <c r="B181" s="431" t="s">
        <v>1061</v>
      </c>
      <c r="C181" s="431" t="s">
        <v>1062</v>
      </c>
      <c r="D181" s="432">
        <v>7.4</v>
      </c>
    </row>
    <row r="182" spans="1:4" ht="12.75" customHeight="1">
      <c r="A182" s="212" t="s">
        <v>613</v>
      </c>
      <c r="B182" s="181" t="s">
        <v>1903</v>
      </c>
      <c r="C182" s="181" t="s">
        <v>1904</v>
      </c>
      <c r="D182" s="213">
        <v>2.015</v>
      </c>
    </row>
    <row r="183" spans="1:4" ht="12.75" customHeight="1">
      <c r="A183" s="433" t="s">
        <v>614</v>
      </c>
      <c r="B183" s="434" t="s">
        <v>1063</v>
      </c>
      <c r="C183" s="434" t="s">
        <v>1064</v>
      </c>
      <c r="D183" s="435">
        <v>5.1</v>
      </c>
    </row>
    <row r="184" spans="1:4" ht="12.75" customHeight="1">
      <c r="A184" s="408" t="s">
        <v>614</v>
      </c>
      <c r="B184" s="409" t="s">
        <v>1064</v>
      </c>
      <c r="C184" s="410" t="s">
        <v>1065</v>
      </c>
      <c r="D184" s="411">
        <v>6.36</v>
      </c>
    </row>
    <row r="185" spans="1:4" ht="12.75" customHeight="1">
      <c r="A185" s="430" t="s">
        <v>615</v>
      </c>
      <c r="B185" s="431" t="s">
        <v>1797</v>
      </c>
      <c r="C185" s="431" t="s">
        <v>1641</v>
      </c>
      <c r="D185" s="432">
        <v>8.097</v>
      </c>
    </row>
    <row r="186" spans="1:4" ht="12.75" customHeight="1">
      <c r="A186" s="212" t="s">
        <v>616</v>
      </c>
      <c r="B186" s="181" t="s">
        <v>1287</v>
      </c>
      <c r="C186" s="181" t="s">
        <v>1067</v>
      </c>
      <c r="D186" s="213">
        <v>32.343</v>
      </c>
    </row>
    <row r="187" spans="1:4" ht="12.75" customHeight="1">
      <c r="A187" s="430" t="s">
        <v>617</v>
      </c>
      <c r="B187" s="431" t="s">
        <v>1289</v>
      </c>
      <c r="C187" s="431" t="s">
        <v>1068</v>
      </c>
      <c r="D187" s="432">
        <v>9.016</v>
      </c>
    </row>
    <row r="188" spans="1:4" ht="12.75" customHeight="1">
      <c r="A188" s="212" t="s">
        <v>618</v>
      </c>
      <c r="B188" s="181" t="s">
        <v>1069</v>
      </c>
      <c r="C188" s="181" t="s">
        <v>1070</v>
      </c>
      <c r="D188" s="213">
        <v>0.862</v>
      </c>
    </row>
    <row r="189" spans="1:4" ht="12.75" customHeight="1">
      <c r="A189" s="433" t="s">
        <v>619</v>
      </c>
      <c r="B189" s="434" t="s">
        <v>1071</v>
      </c>
      <c r="C189" s="434" t="s">
        <v>1072</v>
      </c>
      <c r="D189" s="435">
        <v>12.72</v>
      </c>
    </row>
    <row r="190" spans="1:4" ht="12.75" customHeight="1">
      <c r="A190" s="210" t="s">
        <v>619</v>
      </c>
      <c r="B190" s="180" t="s">
        <v>1072</v>
      </c>
      <c r="C190" s="180" t="s">
        <v>1073</v>
      </c>
      <c r="D190" s="211">
        <v>14.54</v>
      </c>
    </row>
    <row r="191" spans="1:4" ht="12.75" customHeight="1">
      <c r="A191" s="433" t="s">
        <v>620</v>
      </c>
      <c r="B191" s="434" t="s">
        <v>1074</v>
      </c>
      <c r="C191" s="434" t="s">
        <v>1183</v>
      </c>
      <c r="D191" s="435">
        <v>1.865</v>
      </c>
    </row>
    <row r="192" spans="1:4" ht="12.75" customHeight="1">
      <c r="A192" s="210" t="s">
        <v>620</v>
      </c>
      <c r="B192" s="180" t="s">
        <v>1184</v>
      </c>
      <c r="C192" s="180" t="s">
        <v>1075</v>
      </c>
      <c r="D192" s="211">
        <v>0.1</v>
      </c>
    </row>
    <row r="193" spans="1:4" ht="12.75" customHeight="1">
      <c r="A193" s="430" t="s">
        <v>621</v>
      </c>
      <c r="B193" s="431" t="s">
        <v>1076</v>
      </c>
      <c r="C193" s="431" t="s">
        <v>667</v>
      </c>
      <c r="D193" s="432">
        <v>0.81</v>
      </c>
    </row>
    <row r="194" spans="1:4" ht="12.75" customHeight="1">
      <c r="A194" s="212" t="s">
        <v>622</v>
      </c>
      <c r="B194" s="181" t="s">
        <v>1077</v>
      </c>
      <c r="C194" s="181" t="s">
        <v>1642</v>
      </c>
      <c r="D194" s="213">
        <v>14.27</v>
      </c>
    </row>
    <row r="195" spans="1:4" ht="12.75" customHeight="1">
      <c r="A195" s="430" t="s">
        <v>623</v>
      </c>
      <c r="B195" s="431" t="s">
        <v>1089</v>
      </c>
      <c r="C195" s="431" t="s">
        <v>624</v>
      </c>
      <c r="D195" s="432">
        <v>13.455</v>
      </c>
    </row>
    <row r="196" spans="1:4" ht="12.75" customHeight="1">
      <c r="A196" s="212" t="s">
        <v>625</v>
      </c>
      <c r="B196" s="181" t="s">
        <v>1090</v>
      </c>
      <c r="C196" s="181" t="s">
        <v>626</v>
      </c>
      <c r="D196" s="213">
        <v>2.65</v>
      </c>
    </row>
    <row r="197" spans="1:4" ht="12.75" customHeight="1">
      <c r="A197" s="430" t="s">
        <v>627</v>
      </c>
      <c r="B197" s="431" t="s">
        <v>1066</v>
      </c>
      <c r="C197" s="431" t="s">
        <v>1643</v>
      </c>
      <c r="D197" s="432">
        <v>7.175</v>
      </c>
    </row>
    <row r="198" spans="1:4" ht="12.75" customHeight="1">
      <c r="A198" s="212" t="s">
        <v>628</v>
      </c>
      <c r="B198" s="181" t="s">
        <v>1091</v>
      </c>
      <c r="C198" s="181" t="s">
        <v>403</v>
      </c>
      <c r="D198" s="213">
        <v>13.44</v>
      </c>
    </row>
    <row r="199" spans="1:4" ht="12.75" customHeight="1">
      <c r="A199" s="430" t="s">
        <v>629</v>
      </c>
      <c r="B199" s="431" t="s">
        <v>1288</v>
      </c>
      <c r="C199" s="431" t="s">
        <v>1093</v>
      </c>
      <c r="D199" s="432">
        <v>8.99</v>
      </c>
    </row>
    <row r="200" spans="1:4" ht="12.75" customHeight="1">
      <c r="A200" s="212" t="s">
        <v>630</v>
      </c>
      <c r="B200" s="181" t="s">
        <v>1094</v>
      </c>
      <c r="C200" s="181" t="s">
        <v>1290</v>
      </c>
      <c r="D200" s="213">
        <v>3</v>
      </c>
    </row>
    <row r="201" spans="1:4" ht="12.75" customHeight="1">
      <c r="A201" s="430" t="s">
        <v>631</v>
      </c>
      <c r="B201" s="431" t="s">
        <v>1095</v>
      </c>
      <c r="C201" s="431" t="s">
        <v>1096</v>
      </c>
      <c r="D201" s="432">
        <v>14.908</v>
      </c>
    </row>
    <row r="202" spans="1:4" ht="12.75" customHeight="1">
      <c r="A202" s="212" t="s">
        <v>632</v>
      </c>
      <c r="B202" s="181" t="s">
        <v>1092</v>
      </c>
      <c r="C202" s="181" t="s">
        <v>1291</v>
      </c>
      <c r="D202" s="213">
        <v>5.14</v>
      </c>
    </row>
    <row r="203" spans="1:4" ht="12.75" customHeight="1">
      <c r="A203" s="430" t="s">
        <v>633</v>
      </c>
      <c r="B203" s="431" t="s">
        <v>634</v>
      </c>
      <c r="C203" s="431" t="s">
        <v>1292</v>
      </c>
      <c r="D203" s="432">
        <v>5.566</v>
      </c>
    </row>
    <row r="204" spans="1:4" ht="12.75" customHeight="1">
      <c r="A204" s="212" t="s">
        <v>635</v>
      </c>
      <c r="B204" s="181" t="s">
        <v>1098</v>
      </c>
      <c r="C204" s="181" t="s">
        <v>636</v>
      </c>
      <c r="D204" s="213">
        <v>26.8</v>
      </c>
    </row>
    <row r="205" spans="1:4" ht="12.75" customHeight="1">
      <c r="A205" s="430" t="s">
        <v>1644</v>
      </c>
      <c r="B205" s="431" t="s">
        <v>1645</v>
      </c>
      <c r="C205" s="431" t="s">
        <v>1646</v>
      </c>
      <c r="D205" s="432">
        <v>0.145</v>
      </c>
    </row>
    <row r="206" spans="1:4" ht="12.75" customHeight="1">
      <c r="A206" s="212" t="s">
        <v>637</v>
      </c>
      <c r="B206" s="181" t="s">
        <v>1099</v>
      </c>
      <c r="C206" s="181" t="s">
        <v>1097</v>
      </c>
      <c r="D206" s="213">
        <v>19.145</v>
      </c>
    </row>
    <row r="207" spans="1:4" ht="12.75" customHeight="1">
      <c r="A207" s="433" t="s">
        <v>638</v>
      </c>
      <c r="B207" s="434" t="s">
        <v>1798</v>
      </c>
      <c r="C207" s="434" t="s">
        <v>1184</v>
      </c>
      <c r="D207" s="435">
        <v>1.12</v>
      </c>
    </row>
    <row r="208" spans="1:4" ht="12.75" customHeight="1">
      <c r="A208" s="210" t="s">
        <v>638</v>
      </c>
      <c r="B208" s="180" t="s">
        <v>452</v>
      </c>
      <c r="C208" s="180" t="s">
        <v>453</v>
      </c>
      <c r="D208" s="211">
        <v>0.12</v>
      </c>
    </row>
    <row r="209" spans="1:4" ht="12.75" customHeight="1">
      <c r="A209" s="424" t="s">
        <v>1905</v>
      </c>
      <c r="B209" s="425" t="s">
        <v>1647</v>
      </c>
      <c r="C209" s="425" t="s">
        <v>1100</v>
      </c>
      <c r="D209" s="426">
        <v>3.73</v>
      </c>
    </row>
    <row r="210" spans="1:4" ht="12.75" customHeight="1">
      <c r="A210" s="210" t="s">
        <v>639</v>
      </c>
      <c r="B210" s="180" t="s">
        <v>1101</v>
      </c>
      <c r="C210" s="180" t="s">
        <v>640</v>
      </c>
      <c r="D210" s="211">
        <v>10.234</v>
      </c>
    </row>
    <row r="211" spans="1:4" ht="12.75" customHeight="1">
      <c r="A211" s="433" t="s">
        <v>641</v>
      </c>
      <c r="B211" s="434" t="s">
        <v>1102</v>
      </c>
      <c r="C211" s="434" t="s">
        <v>393</v>
      </c>
      <c r="D211" s="435">
        <v>0.6</v>
      </c>
    </row>
    <row r="212" spans="1:4" ht="12.75" customHeight="1">
      <c r="A212" s="412" t="s">
        <v>641</v>
      </c>
      <c r="B212" s="413" t="s">
        <v>393</v>
      </c>
      <c r="C212" s="413" t="s">
        <v>394</v>
      </c>
      <c r="D212" s="414">
        <v>0.94</v>
      </c>
    </row>
    <row r="213" spans="1:4" ht="12.75" customHeight="1">
      <c r="A213" s="437" t="s">
        <v>641</v>
      </c>
      <c r="B213" s="438" t="s">
        <v>1103</v>
      </c>
      <c r="C213" s="439" t="s">
        <v>642</v>
      </c>
      <c r="D213" s="440">
        <v>3.572</v>
      </c>
    </row>
    <row r="214" spans="1:4" ht="12.75" customHeight="1">
      <c r="A214" s="212" t="s">
        <v>643</v>
      </c>
      <c r="B214" s="181" t="s">
        <v>644</v>
      </c>
      <c r="C214" s="181" t="s">
        <v>1293</v>
      </c>
      <c r="D214" s="213">
        <v>35.75</v>
      </c>
    </row>
    <row r="215" spans="1:4" ht="12.75" customHeight="1">
      <c r="A215" s="430" t="s">
        <v>645</v>
      </c>
      <c r="B215" s="431" t="s">
        <v>1104</v>
      </c>
      <c r="C215" s="431" t="s">
        <v>1648</v>
      </c>
      <c r="D215" s="432">
        <v>9.672</v>
      </c>
    </row>
    <row r="216" spans="1:4" ht="12.75" customHeight="1">
      <c r="A216" s="212" t="s">
        <v>647</v>
      </c>
      <c r="B216" s="181" t="s">
        <v>1105</v>
      </c>
      <c r="C216" s="181" t="s">
        <v>1106</v>
      </c>
      <c r="D216" s="213">
        <v>4.77</v>
      </c>
    </row>
    <row r="217" spans="1:4" ht="12.75" customHeight="1">
      <c r="A217" s="433" t="s">
        <v>648</v>
      </c>
      <c r="B217" s="434" t="s">
        <v>1107</v>
      </c>
      <c r="C217" s="434" t="s">
        <v>1299</v>
      </c>
      <c r="D217" s="435">
        <v>2.595</v>
      </c>
    </row>
    <row r="218" spans="1:4" ht="12.75" customHeight="1">
      <c r="A218" s="412" t="s">
        <v>648</v>
      </c>
      <c r="B218" s="413" t="s">
        <v>1300</v>
      </c>
      <c r="C218" s="415" t="s">
        <v>649</v>
      </c>
      <c r="D218" s="414">
        <v>1.97</v>
      </c>
    </row>
    <row r="219" spans="1:4" ht="12.75" customHeight="1">
      <c r="A219" s="424" t="s">
        <v>648</v>
      </c>
      <c r="B219" s="425" t="s">
        <v>650</v>
      </c>
      <c r="C219" s="425" t="s">
        <v>651</v>
      </c>
      <c r="D219" s="426">
        <v>0.16</v>
      </c>
    </row>
    <row r="220" spans="1:4" ht="12.75" customHeight="1">
      <c r="A220" s="210" t="s">
        <v>648</v>
      </c>
      <c r="B220" s="180" t="s">
        <v>652</v>
      </c>
      <c r="C220" s="180" t="s">
        <v>652</v>
      </c>
      <c r="D220" s="211">
        <v>0.61</v>
      </c>
    </row>
    <row r="221" spans="1:4" ht="12.75" customHeight="1">
      <c r="A221" s="433" t="s">
        <v>653</v>
      </c>
      <c r="B221" s="434" t="s">
        <v>654</v>
      </c>
      <c r="C221" s="434" t="s">
        <v>1108</v>
      </c>
      <c r="D221" s="435">
        <v>1.005</v>
      </c>
    </row>
    <row r="222" spans="1:4" ht="12.75" customHeight="1">
      <c r="A222" s="208" t="s">
        <v>653</v>
      </c>
      <c r="B222" s="179" t="s">
        <v>593</v>
      </c>
      <c r="C222" s="179" t="s">
        <v>1649</v>
      </c>
      <c r="D222" s="209">
        <v>1.61</v>
      </c>
    </row>
    <row r="223" spans="1:4" ht="12.75" customHeight="1">
      <c r="A223" s="424" t="s">
        <v>653</v>
      </c>
      <c r="B223" s="425" t="s">
        <v>1650</v>
      </c>
      <c r="C223" s="425" t="s">
        <v>1651</v>
      </c>
      <c r="D223" s="426">
        <v>1.38</v>
      </c>
    </row>
    <row r="224" spans="1:4" ht="12.75" customHeight="1">
      <c r="A224" s="208" t="s">
        <v>653</v>
      </c>
      <c r="B224" s="179" t="s">
        <v>1652</v>
      </c>
      <c r="C224" s="179" t="s">
        <v>1653</v>
      </c>
      <c r="D224" s="209">
        <v>1.1</v>
      </c>
    </row>
    <row r="225" spans="1:4" ht="12.75" customHeight="1">
      <c r="A225" s="424" t="s">
        <v>653</v>
      </c>
      <c r="B225" s="425" t="s">
        <v>1654</v>
      </c>
      <c r="C225" s="425" t="s">
        <v>1655</v>
      </c>
      <c r="D225" s="426">
        <v>0.63</v>
      </c>
    </row>
    <row r="226" spans="1:4" ht="12.75" customHeight="1">
      <c r="A226" s="208" t="s">
        <v>653</v>
      </c>
      <c r="B226" s="179" t="s">
        <v>1301</v>
      </c>
      <c r="C226" s="179" t="s">
        <v>1656</v>
      </c>
      <c r="D226" s="209">
        <v>1.32</v>
      </c>
    </row>
    <row r="227" spans="1:4" ht="12.75" customHeight="1">
      <c r="A227" s="424" t="s">
        <v>653</v>
      </c>
      <c r="B227" s="425" t="s">
        <v>1657</v>
      </c>
      <c r="C227" s="425" t="s">
        <v>1658</v>
      </c>
      <c r="D227" s="426">
        <v>3.4</v>
      </c>
    </row>
    <row r="228" spans="1:4" ht="12.75" customHeight="1">
      <c r="A228" s="208" t="s">
        <v>653</v>
      </c>
      <c r="B228" s="179" t="s">
        <v>1659</v>
      </c>
      <c r="C228" s="179" t="s">
        <v>1660</v>
      </c>
      <c r="D228" s="209">
        <v>1</v>
      </c>
    </row>
    <row r="229" spans="1:4" ht="12.75" customHeight="1">
      <c r="A229" s="427" t="s">
        <v>653</v>
      </c>
      <c r="B229" s="428" t="s">
        <v>1661</v>
      </c>
      <c r="C229" s="428" t="s">
        <v>1662</v>
      </c>
      <c r="D229" s="429">
        <v>0.3</v>
      </c>
    </row>
    <row r="230" spans="1:4" ht="12.75" customHeight="1">
      <c r="A230" s="206" t="s">
        <v>656</v>
      </c>
      <c r="B230" s="171" t="s">
        <v>383</v>
      </c>
      <c r="C230" s="171" t="s">
        <v>1109</v>
      </c>
      <c r="D230" s="207">
        <v>25.324</v>
      </c>
    </row>
    <row r="231" spans="1:4" ht="12.75" customHeight="1">
      <c r="A231" s="424" t="s">
        <v>656</v>
      </c>
      <c r="B231" s="425" t="s">
        <v>1109</v>
      </c>
      <c r="C231" s="425" t="s">
        <v>1110</v>
      </c>
      <c r="D231" s="426">
        <v>1.255</v>
      </c>
    </row>
    <row r="232" spans="1:4" ht="12.75" customHeight="1">
      <c r="A232" s="210" t="s">
        <v>656</v>
      </c>
      <c r="B232" s="180" t="s">
        <v>1110</v>
      </c>
      <c r="C232" s="180" t="s">
        <v>1111</v>
      </c>
      <c r="D232" s="211">
        <v>3.765</v>
      </c>
    </row>
    <row r="233" spans="1:4" ht="12.75" customHeight="1">
      <c r="A233" s="433" t="s">
        <v>1112</v>
      </c>
      <c r="B233" s="434" t="s">
        <v>657</v>
      </c>
      <c r="C233" s="434" t="s">
        <v>1113</v>
      </c>
      <c r="D233" s="435">
        <v>1.755</v>
      </c>
    </row>
    <row r="234" spans="1:4" ht="12.75" customHeight="1">
      <c r="A234" s="208" t="s">
        <v>1112</v>
      </c>
      <c r="B234" s="179" t="s">
        <v>1114</v>
      </c>
      <c r="C234" s="179" t="s">
        <v>1115</v>
      </c>
      <c r="D234" s="209">
        <v>1.29</v>
      </c>
    </row>
    <row r="235" spans="1:4" ht="12.75" customHeight="1">
      <c r="A235" s="427" t="s">
        <v>1112</v>
      </c>
      <c r="B235" s="428" t="s">
        <v>769</v>
      </c>
      <c r="C235" s="428" t="s">
        <v>770</v>
      </c>
      <c r="D235" s="429">
        <v>0.75</v>
      </c>
    </row>
    <row r="236" spans="1:4" ht="12.75" customHeight="1">
      <c r="A236" s="206" t="s">
        <v>331</v>
      </c>
      <c r="B236" s="171" t="s">
        <v>782</v>
      </c>
      <c r="C236" s="171" t="s">
        <v>1116</v>
      </c>
      <c r="D236" s="207">
        <v>7</v>
      </c>
    </row>
    <row r="237" spans="1:4" ht="12.75" customHeight="1">
      <c r="A237" s="424" t="s">
        <v>331</v>
      </c>
      <c r="B237" s="425" t="s">
        <v>1117</v>
      </c>
      <c r="C237" s="425" t="s">
        <v>1118</v>
      </c>
      <c r="D237" s="426">
        <v>12.188</v>
      </c>
    </row>
    <row r="238" spans="1:4" ht="12.75" customHeight="1">
      <c r="A238" s="208" t="s">
        <v>331</v>
      </c>
      <c r="B238" s="179" t="s">
        <v>1907</v>
      </c>
      <c r="C238" s="179" t="s">
        <v>1302</v>
      </c>
      <c r="D238" s="209">
        <v>1.67</v>
      </c>
    </row>
    <row r="239" spans="1:4" ht="12.75" customHeight="1">
      <c r="A239" s="424" t="s">
        <v>331</v>
      </c>
      <c r="B239" s="425" t="s">
        <v>1302</v>
      </c>
      <c r="C239" s="425" t="s">
        <v>1119</v>
      </c>
      <c r="D239" s="426">
        <v>1.03</v>
      </c>
    </row>
    <row r="240" spans="1:4" ht="12.75" customHeight="1">
      <c r="A240" s="208" t="s">
        <v>331</v>
      </c>
      <c r="B240" s="179" t="s">
        <v>1303</v>
      </c>
      <c r="C240" s="179" t="s">
        <v>1120</v>
      </c>
      <c r="D240" s="209">
        <v>8.15</v>
      </c>
    </row>
    <row r="241" spans="1:4" ht="12.75" customHeight="1">
      <c r="A241" s="427" t="s">
        <v>331</v>
      </c>
      <c r="B241" s="428" t="s">
        <v>1120</v>
      </c>
      <c r="C241" s="428" t="s">
        <v>1121</v>
      </c>
      <c r="D241" s="429">
        <v>4.72</v>
      </c>
    </row>
    <row r="242" spans="1:4" ht="12.75" customHeight="1">
      <c r="A242" s="212" t="s">
        <v>658</v>
      </c>
      <c r="B242" s="181" t="s">
        <v>659</v>
      </c>
      <c r="C242" s="181" t="s">
        <v>660</v>
      </c>
      <c r="D242" s="213">
        <v>1.56</v>
      </c>
    </row>
    <row r="243" spans="1:4" ht="12.75" customHeight="1">
      <c r="A243" s="430" t="s">
        <v>661</v>
      </c>
      <c r="B243" s="431" t="s">
        <v>1050</v>
      </c>
      <c r="C243" s="431" t="s">
        <v>1122</v>
      </c>
      <c r="D243" s="432">
        <v>3.65</v>
      </c>
    </row>
    <row r="244" spans="1:4" ht="12.75" customHeight="1">
      <c r="A244" s="206" t="s">
        <v>662</v>
      </c>
      <c r="B244" s="171" t="s">
        <v>1304</v>
      </c>
      <c r="C244" s="171" t="s">
        <v>1663</v>
      </c>
      <c r="D244" s="207">
        <v>8.715</v>
      </c>
    </row>
    <row r="245" spans="1:4" ht="12.75" customHeight="1">
      <c r="A245" s="427" t="s">
        <v>662</v>
      </c>
      <c r="B245" s="428" t="s">
        <v>1664</v>
      </c>
      <c r="C245" s="428" t="s">
        <v>1123</v>
      </c>
      <c r="D245" s="429">
        <v>4.315</v>
      </c>
    </row>
    <row r="246" spans="1:4" ht="12.75" customHeight="1">
      <c r="A246" s="212" t="s">
        <v>663</v>
      </c>
      <c r="B246" s="181" t="s">
        <v>1124</v>
      </c>
      <c r="C246" s="181" t="s">
        <v>664</v>
      </c>
      <c r="D246" s="213">
        <v>9.45</v>
      </c>
    </row>
    <row r="247" spans="1:4" ht="12.75" customHeight="1">
      <c r="A247" s="433" t="s">
        <v>665</v>
      </c>
      <c r="B247" s="434" t="s">
        <v>1665</v>
      </c>
      <c r="C247" s="434" t="s">
        <v>1666</v>
      </c>
      <c r="D247" s="435">
        <v>10.643</v>
      </c>
    </row>
    <row r="248" spans="1:4" ht="12.75" customHeight="1">
      <c r="A248" s="210" t="s">
        <v>665</v>
      </c>
      <c r="B248" s="180" t="s">
        <v>1667</v>
      </c>
      <c r="C248" s="180" t="s">
        <v>1668</v>
      </c>
      <c r="D248" s="211">
        <v>1.45</v>
      </c>
    </row>
    <row r="249" spans="1:4" ht="12.75" customHeight="1">
      <c r="A249" s="430" t="s">
        <v>666</v>
      </c>
      <c r="B249" s="431" t="s">
        <v>395</v>
      </c>
      <c r="C249" s="431" t="s">
        <v>667</v>
      </c>
      <c r="D249" s="432">
        <v>1.52</v>
      </c>
    </row>
    <row r="250" spans="1:4" ht="12.75" customHeight="1">
      <c r="A250" s="210" t="s">
        <v>668</v>
      </c>
      <c r="B250" s="180" t="s">
        <v>1268</v>
      </c>
      <c r="C250" s="180" t="s">
        <v>1294</v>
      </c>
      <c r="D250" s="211">
        <v>31.95</v>
      </c>
    </row>
    <row r="251" spans="1:4" ht="12.75" customHeight="1">
      <c r="A251" s="430" t="s">
        <v>669</v>
      </c>
      <c r="B251" s="431" t="s">
        <v>670</v>
      </c>
      <c r="C251" s="431" t="s">
        <v>1125</v>
      </c>
      <c r="D251" s="432">
        <v>31.73</v>
      </c>
    </row>
    <row r="252" spans="1:4" ht="12.75" customHeight="1">
      <c r="A252" s="206" t="s">
        <v>672</v>
      </c>
      <c r="B252" s="171" t="s">
        <v>1126</v>
      </c>
      <c r="C252" s="171" t="s">
        <v>673</v>
      </c>
      <c r="D252" s="207">
        <v>0.68</v>
      </c>
    </row>
    <row r="253" spans="1:4" ht="12.75" customHeight="1">
      <c r="A253" s="424" t="s">
        <v>672</v>
      </c>
      <c r="B253" s="425" t="s">
        <v>1669</v>
      </c>
      <c r="C253" s="425" t="s">
        <v>1638</v>
      </c>
      <c r="D253" s="426">
        <v>3.385</v>
      </c>
    </row>
    <row r="254" spans="1:4" ht="12.75" customHeight="1">
      <c r="A254" s="208" t="s">
        <v>672</v>
      </c>
      <c r="B254" s="179" t="s">
        <v>1184</v>
      </c>
      <c r="C254" s="179" t="s">
        <v>1127</v>
      </c>
      <c r="D254" s="209">
        <v>1.13</v>
      </c>
    </row>
    <row r="255" spans="1:4" ht="12.75" customHeight="1">
      <c r="A255" s="424" t="s">
        <v>672</v>
      </c>
      <c r="B255" s="425" t="s">
        <v>1799</v>
      </c>
      <c r="C255" s="425" t="s">
        <v>1670</v>
      </c>
      <c r="D255" s="426">
        <v>0.93</v>
      </c>
    </row>
    <row r="256" spans="1:4" ht="12.75" customHeight="1">
      <c r="A256" s="210" t="s">
        <v>672</v>
      </c>
      <c r="B256" s="180" t="s">
        <v>1671</v>
      </c>
      <c r="C256" s="180" t="s">
        <v>1128</v>
      </c>
      <c r="D256" s="211">
        <v>1.54</v>
      </c>
    </row>
    <row r="257" spans="1:4" ht="12.75" customHeight="1">
      <c r="A257" s="430" t="s">
        <v>678</v>
      </c>
      <c r="B257" s="431" t="s">
        <v>1129</v>
      </c>
      <c r="C257" s="431" t="s">
        <v>1130</v>
      </c>
      <c r="D257" s="432">
        <v>15.155</v>
      </c>
    </row>
    <row r="258" spans="1:4" ht="12.75" customHeight="1">
      <c r="A258" s="212" t="s">
        <v>679</v>
      </c>
      <c r="B258" s="181" t="s">
        <v>1131</v>
      </c>
      <c r="C258" s="181" t="s">
        <v>1305</v>
      </c>
      <c r="D258" s="213">
        <v>8.5</v>
      </c>
    </row>
    <row r="259" spans="1:4" ht="12.75" customHeight="1">
      <c r="A259" s="430" t="s">
        <v>1306</v>
      </c>
      <c r="B259" s="431" t="s">
        <v>1307</v>
      </c>
      <c r="C259" s="431" t="s">
        <v>1308</v>
      </c>
      <c r="D259" s="432">
        <v>0.5</v>
      </c>
    </row>
    <row r="260" spans="1:4" ht="12.75" customHeight="1">
      <c r="A260" s="206" t="s">
        <v>1309</v>
      </c>
      <c r="B260" s="171" t="s">
        <v>1310</v>
      </c>
      <c r="C260" s="171" t="s">
        <v>1800</v>
      </c>
      <c r="D260" s="207">
        <v>9.185</v>
      </c>
    </row>
    <row r="261" spans="1:4" ht="12.75" customHeight="1">
      <c r="A261" s="424" t="s">
        <v>1309</v>
      </c>
      <c r="B261" s="425" t="s">
        <v>1672</v>
      </c>
      <c r="C261" s="425" t="s">
        <v>1801</v>
      </c>
      <c r="D261" s="426">
        <v>0.995</v>
      </c>
    </row>
    <row r="262" spans="1:4" ht="12.75" customHeight="1">
      <c r="A262" s="210" t="s">
        <v>1309</v>
      </c>
      <c r="B262" s="180" t="s">
        <v>1673</v>
      </c>
      <c r="C262" s="180" t="s">
        <v>1674</v>
      </c>
      <c r="D262" s="211">
        <v>2.53</v>
      </c>
    </row>
    <row r="263" spans="1:4" ht="12.75" customHeight="1">
      <c r="A263" s="433" t="s">
        <v>303</v>
      </c>
      <c r="B263" s="434" t="s">
        <v>311</v>
      </c>
      <c r="C263" s="434" t="s">
        <v>1132</v>
      </c>
      <c r="D263" s="435">
        <v>19.851</v>
      </c>
    </row>
    <row r="264" spans="1:4" ht="12.75" customHeight="1">
      <c r="A264" s="210" t="s">
        <v>303</v>
      </c>
      <c r="B264" s="180" t="s">
        <v>1132</v>
      </c>
      <c r="C264" s="180" t="s">
        <v>1133</v>
      </c>
      <c r="D264" s="211">
        <v>8.815</v>
      </c>
    </row>
    <row r="265" spans="1:4" ht="12.75" customHeight="1">
      <c r="A265" s="430" t="s">
        <v>317</v>
      </c>
      <c r="B265" s="431" t="s">
        <v>347</v>
      </c>
      <c r="C265" s="431" t="s">
        <v>680</v>
      </c>
      <c r="D265" s="432">
        <v>3.847</v>
      </c>
    </row>
    <row r="266" spans="1:4" ht="12.75" customHeight="1">
      <c r="A266" s="212" t="s">
        <v>681</v>
      </c>
      <c r="B266" s="181" t="s">
        <v>1134</v>
      </c>
      <c r="C266" s="181" t="s">
        <v>1135</v>
      </c>
      <c r="D266" s="213">
        <v>0.73</v>
      </c>
    </row>
    <row r="267" spans="1:4" ht="12.75" customHeight="1">
      <c r="A267" s="430" t="s">
        <v>682</v>
      </c>
      <c r="B267" s="431" t="s">
        <v>1134</v>
      </c>
      <c r="C267" s="431" t="s">
        <v>1135</v>
      </c>
      <c r="D267" s="432">
        <v>0.83</v>
      </c>
    </row>
    <row r="268" spans="1:4" ht="12.75" customHeight="1">
      <c r="A268" s="206" t="s">
        <v>684</v>
      </c>
      <c r="B268" s="171" t="s">
        <v>685</v>
      </c>
      <c r="C268" s="171" t="s">
        <v>686</v>
      </c>
      <c r="D268" s="207">
        <v>0.36</v>
      </c>
    </row>
    <row r="269" spans="1:4" ht="12.75" customHeight="1">
      <c r="A269" s="427" t="s">
        <v>684</v>
      </c>
      <c r="B269" s="428" t="s">
        <v>1910</v>
      </c>
      <c r="C269" s="428" t="s">
        <v>1911</v>
      </c>
      <c r="D269" s="429">
        <v>2.505</v>
      </c>
    </row>
    <row r="270" spans="1:4" ht="12.75" customHeight="1">
      <c r="A270" s="212" t="s">
        <v>1912</v>
      </c>
      <c r="B270" s="181" t="s">
        <v>1910</v>
      </c>
      <c r="C270" s="181" t="s">
        <v>1911</v>
      </c>
      <c r="D270" s="213">
        <v>2.485</v>
      </c>
    </row>
    <row r="271" spans="1:4" ht="12.75" customHeight="1">
      <c r="A271" s="424" t="s">
        <v>687</v>
      </c>
      <c r="B271" s="425" t="s">
        <v>1139</v>
      </c>
      <c r="C271" s="425" t="s">
        <v>1140</v>
      </c>
      <c r="D271" s="426">
        <v>7.575</v>
      </c>
    </row>
    <row r="272" spans="1:4" ht="12.75" customHeight="1">
      <c r="A272" s="210" t="s">
        <v>687</v>
      </c>
      <c r="B272" s="180" t="s">
        <v>1137</v>
      </c>
      <c r="C272" s="180" t="s">
        <v>1138</v>
      </c>
      <c r="D272" s="211">
        <v>4.03</v>
      </c>
    </row>
    <row r="273" spans="1:4" ht="12.75" customHeight="1">
      <c r="A273" s="430" t="s">
        <v>688</v>
      </c>
      <c r="B273" s="431" t="s">
        <v>689</v>
      </c>
      <c r="C273" s="431" t="s">
        <v>1913</v>
      </c>
      <c r="D273" s="432">
        <v>1.37</v>
      </c>
    </row>
    <row r="274" spans="1:4" ht="12.75" customHeight="1">
      <c r="A274" s="212" t="s">
        <v>690</v>
      </c>
      <c r="B274" s="181" t="s">
        <v>1675</v>
      </c>
      <c r="C274" s="181" t="s">
        <v>1141</v>
      </c>
      <c r="D274" s="213">
        <v>15.57</v>
      </c>
    </row>
    <row r="275" spans="1:4" ht="12.75" customHeight="1">
      <c r="A275" s="433" t="s">
        <v>691</v>
      </c>
      <c r="B275" s="434" t="s">
        <v>1914</v>
      </c>
      <c r="C275" s="434" t="s">
        <v>1676</v>
      </c>
      <c r="D275" s="435">
        <v>9.285</v>
      </c>
    </row>
    <row r="276" spans="1:4" ht="12.75" customHeight="1">
      <c r="A276" s="210" t="s">
        <v>691</v>
      </c>
      <c r="B276" s="180" t="s">
        <v>1676</v>
      </c>
      <c r="C276" s="180" t="s">
        <v>1677</v>
      </c>
      <c r="D276" s="211">
        <v>0.615</v>
      </c>
    </row>
    <row r="277" spans="1:4" ht="12.75" customHeight="1">
      <c r="A277" s="430" t="s">
        <v>692</v>
      </c>
      <c r="B277" s="431" t="s">
        <v>1142</v>
      </c>
      <c r="C277" s="431" t="s">
        <v>1143</v>
      </c>
      <c r="D277" s="432">
        <v>12.9</v>
      </c>
    </row>
    <row r="278" spans="1:4" ht="12.75" customHeight="1">
      <c r="A278" s="206" t="s">
        <v>693</v>
      </c>
      <c r="B278" s="171" t="s">
        <v>1366</v>
      </c>
      <c r="C278" s="171" t="s">
        <v>1311</v>
      </c>
      <c r="D278" s="207">
        <v>23.29</v>
      </c>
    </row>
    <row r="279" spans="1:4" ht="12.75" customHeight="1">
      <c r="A279" s="424" t="s">
        <v>693</v>
      </c>
      <c r="B279" s="425" t="s">
        <v>694</v>
      </c>
      <c r="C279" s="425" t="s">
        <v>694</v>
      </c>
      <c r="D279" s="426">
        <v>1.06</v>
      </c>
    </row>
    <row r="280" spans="1:4" ht="12.75" customHeight="1">
      <c r="A280" s="206" t="s">
        <v>695</v>
      </c>
      <c r="B280" s="171" t="s">
        <v>1678</v>
      </c>
      <c r="C280" s="171" t="s">
        <v>1679</v>
      </c>
      <c r="D280" s="207">
        <v>4.838</v>
      </c>
    </row>
    <row r="281" spans="1:4" ht="12.75" customHeight="1">
      <c r="A281" s="424" t="s">
        <v>695</v>
      </c>
      <c r="B281" s="425" t="s">
        <v>1680</v>
      </c>
      <c r="C281" s="425" t="s">
        <v>1144</v>
      </c>
      <c r="D281" s="426">
        <v>1.69</v>
      </c>
    </row>
    <row r="282" spans="1:4" ht="12.75" customHeight="1">
      <c r="A282" s="208" t="s">
        <v>695</v>
      </c>
      <c r="B282" s="179" t="s">
        <v>1312</v>
      </c>
      <c r="C282" s="179" t="s">
        <v>795</v>
      </c>
      <c r="D282" s="209">
        <v>0.225</v>
      </c>
    </row>
    <row r="283" spans="1:4" ht="12.75" customHeight="1">
      <c r="A283" s="433" t="s">
        <v>29</v>
      </c>
      <c r="B283" s="434" t="s">
        <v>1313</v>
      </c>
      <c r="C283" s="434" t="s">
        <v>1681</v>
      </c>
      <c r="D283" s="435">
        <v>2.161</v>
      </c>
    </row>
    <row r="284" spans="1:4" ht="12.75" customHeight="1">
      <c r="A284" s="210" t="s">
        <v>29</v>
      </c>
      <c r="B284" s="180" t="s">
        <v>1682</v>
      </c>
      <c r="C284" s="180" t="s">
        <v>1683</v>
      </c>
      <c r="D284" s="211">
        <v>0.079</v>
      </c>
    </row>
    <row r="285" spans="1:4" ht="12.75" customHeight="1">
      <c r="A285" s="430" t="s">
        <v>696</v>
      </c>
      <c r="B285" s="431" t="s">
        <v>1145</v>
      </c>
      <c r="C285" s="431" t="s">
        <v>397</v>
      </c>
      <c r="D285" s="432">
        <v>3.485</v>
      </c>
    </row>
    <row r="286" spans="1:4" ht="12.75" customHeight="1">
      <c r="A286" s="206" t="s">
        <v>697</v>
      </c>
      <c r="B286" s="171" t="s">
        <v>796</v>
      </c>
      <c r="C286" s="171" t="s">
        <v>1684</v>
      </c>
      <c r="D286" s="207">
        <v>0.305</v>
      </c>
    </row>
    <row r="287" spans="1:4" ht="12.75" customHeight="1">
      <c r="A287" s="424" t="s">
        <v>697</v>
      </c>
      <c r="B287" s="425" t="s">
        <v>1685</v>
      </c>
      <c r="C287" s="425" t="s">
        <v>1686</v>
      </c>
      <c r="D287" s="426">
        <v>6.793</v>
      </c>
    </row>
    <row r="288" spans="1:4" ht="12.75" customHeight="1">
      <c r="A288" s="210" t="s">
        <v>697</v>
      </c>
      <c r="B288" s="180" t="s">
        <v>1146</v>
      </c>
      <c r="C288" s="180" t="s">
        <v>1915</v>
      </c>
      <c r="D288" s="211">
        <v>0.965</v>
      </c>
    </row>
    <row r="289" spans="1:4" ht="12.75" customHeight="1">
      <c r="A289" s="427" t="s">
        <v>1916</v>
      </c>
      <c r="B289" s="428" t="s">
        <v>1917</v>
      </c>
      <c r="C289" s="428" t="s">
        <v>1918</v>
      </c>
      <c r="D289" s="429">
        <v>0.33</v>
      </c>
    </row>
    <row r="290" spans="1:4" ht="12.75" customHeight="1">
      <c r="A290" s="212" t="s">
        <v>698</v>
      </c>
      <c r="B290" s="181" t="s">
        <v>1919</v>
      </c>
      <c r="C290" s="181" t="s">
        <v>1314</v>
      </c>
      <c r="D290" s="213">
        <v>2.21</v>
      </c>
    </row>
    <row r="291" spans="1:4" ht="12.75" customHeight="1">
      <c r="A291" s="433" t="s">
        <v>699</v>
      </c>
      <c r="B291" s="434" t="s">
        <v>1147</v>
      </c>
      <c r="C291" s="434" t="s">
        <v>655</v>
      </c>
      <c r="D291" s="435">
        <v>19.293</v>
      </c>
    </row>
    <row r="292" spans="1:4" ht="12.75" customHeight="1">
      <c r="A292" s="210" t="s">
        <v>699</v>
      </c>
      <c r="B292" s="180" t="s">
        <v>1803</v>
      </c>
      <c r="C292" s="180" t="s">
        <v>1148</v>
      </c>
      <c r="D292" s="211">
        <v>21.255</v>
      </c>
    </row>
    <row r="293" spans="1:4" ht="12.75" customHeight="1">
      <c r="A293" s="433" t="s">
        <v>306</v>
      </c>
      <c r="B293" s="434" t="s">
        <v>379</v>
      </c>
      <c r="C293" s="434" t="s">
        <v>1369</v>
      </c>
      <c r="D293" s="435">
        <v>11.749</v>
      </c>
    </row>
    <row r="294" spans="1:4" ht="12.75" customHeight="1">
      <c r="A294" s="208" t="s">
        <v>306</v>
      </c>
      <c r="B294" s="179" t="s">
        <v>1367</v>
      </c>
      <c r="C294" s="179" t="s">
        <v>1368</v>
      </c>
      <c r="D294" s="209">
        <v>0.33</v>
      </c>
    </row>
    <row r="295" spans="1:4" ht="12.75" customHeight="1">
      <c r="A295" s="427" t="s">
        <v>306</v>
      </c>
      <c r="B295" s="428" t="s">
        <v>1368</v>
      </c>
      <c r="C295" s="428" t="s">
        <v>1370</v>
      </c>
      <c r="D295" s="429">
        <v>14.692</v>
      </c>
    </row>
    <row r="296" spans="1:4" ht="12.75" customHeight="1">
      <c r="A296" s="212" t="s">
        <v>1149</v>
      </c>
      <c r="B296" s="181" t="s">
        <v>1150</v>
      </c>
      <c r="C296" s="181" t="s">
        <v>333</v>
      </c>
      <c r="D296" s="213">
        <v>1.449</v>
      </c>
    </row>
    <row r="297" spans="1:4" ht="12.75" customHeight="1">
      <c r="A297" s="206" t="s">
        <v>700</v>
      </c>
      <c r="B297" s="171" t="s">
        <v>1151</v>
      </c>
      <c r="C297" s="171" t="s">
        <v>404</v>
      </c>
      <c r="D297" s="207">
        <v>1.97</v>
      </c>
    </row>
    <row r="298" spans="1:4" ht="12.75" customHeight="1">
      <c r="A298" s="427" t="s">
        <v>700</v>
      </c>
      <c r="B298" s="428" t="s">
        <v>701</v>
      </c>
      <c r="C298" s="428" t="s">
        <v>1152</v>
      </c>
      <c r="D298" s="429">
        <v>4.543</v>
      </c>
    </row>
    <row r="299" spans="1:4" ht="12.75" customHeight="1">
      <c r="A299" s="206" t="s">
        <v>702</v>
      </c>
      <c r="B299" s="171" t="s">
        <v>1153</v>
      </c>
      <c r="C299" s="171" t="s">
        <v>703</v>
      </c>
      <c r="D299" s="207">
        <v>1.37</v>
      </c>
    </row>
    <row r="300" spans="1:4" ht="12.75" customHeight="1">
      <c r="A300" s="427" t="s">
        <v>702</v>
      </c>
      <c r="B300" s="428" t="s">
        <v>704</v>
      </c>
      <c r="C300" s="428" t="s">
        <v>705</v>
      </c>
      <c r="D300" s="429">
        <v>1.875</v>
      </c>
    </row>
    <row r="301" spans="1:4" ht="12.75" customHeight="1">
      <c r="A301" s="212" t="s">
        <v>706</v>
      </c>
      <c r="B301" s="181" t="s">
        <v>707</v>
      </c>
      <c r="C301" s="181" t="s">
        <v>398</v>
      </c>
      <c r="D301" s="213">
        <v>3.012</v>
      </c>
    </row>
    <row r="302" spans="1:4" ht="12.75" customHeight="1">
      <c r="A302" s="430" t="s">
        <v>708</v>
      </c>
      <c r="B302" s="431" t="s">
        <v>707</v>
      </c>
      <c r="C302" s="431" t="s">
        <v>398</v>
      </c>
      <c r="D302" s="432">
        <v>3.088</v>
      </c>
    </row>
    <row r="303" spans="1:4" ht="12.75" customHeight="1">
      <c r="A303" s="206" t="s">
        <v>326</v>
      </c>
      <c r="B303" s="171" t="s">
        <v>1154</v>
      </c>
      <c r="C303" s="171" t="s">
        <v>709</v>
      </c>
      <c r="D303" s="207">
        <v>4.168</v>
      </c>
    </row>
    <row r="304" spans="1:4" ht="12.75" customHeight="1">
      <c r="A304" s="427" t="s">
        <v>326</v>
      </c>
      <c r="B304" s="428" t="s">
        <v>710</v>
      </c>
      <c r="C304" s="428" t="s">
        <v>405</v>
      </c>
      <c r="D304" s="429">
        <v>21.352</v>
      </c>
    </row>
    <row r="305" spans="1:4" ht="12.75" customHeight="1">
      <c r="A305" s="212" t="s">
        <v>334</v>
      </c>
      <c r="B305" s="181" t="s">
        <v>344</v>
      </c>
      <c r="C305" s="181" t="s">
        <v>711</v>
      </c>
      <c r="D305" s="213">
        <v>1.874</v>
      </c>
    </row>
    <row r="306" spans="1:4" ht="12.75" customHeight="1">
      <c r="A306" s="433" t="s">
        <v>482</v>
      </c>
      <c r="B306" s="434" t="s">
        <v>399</v>
      </c>
      <c r="C306" s="434" t="s">
        <v>1295</v>
      </c>
      <c r="D306" s="435">
        <v>17.898</v>
      </c>
    </row>
    <row r="307" spans="1:4" ht="12.75" customHeight="1">
      <c r="A307" s="208" t="s">
        <v>482</v>
      </c>
      <c r="B307" s="179" t="s">
        <v>1295</v>
      </c>
      <c r="C307" s="179" t="s">
        <v>1296</v>
      </c>
      <c r="D307" s="209">
        <v>5.88</v>
      </c>
    </row>
    <row r="308" spans="1:4" ht="12.75" customHeight="1">
      <c r="A308" s="424" t="s">
        <v>482</v>
      </c>
      <c r="B308" s="425" t="s">
        <v>1296</v>
      </c>
      <c r="C308" s="425" t="s">
        <v>1297</v>
      </c>
      <c r="D308" s="426">
        <v>24.505</v>
      </c>
    </row>
    <row r="309" spans="1:4" ht="12.75" customHeight="1">
      <c r="A309" s="210" t="s">
        <v>482</v>
      </c>
      <c r="B309" s="180" t="s">
        <v>1298</v>
      </c>
      <c r="C309" s="180" t="s">
        <v>1687</v>
      </c>
      <c r="D309" s="211">
        <v>18.404</v>
      </c>
    </row>
    <row r="310" spans="1:4" ht="12.75" customHeight="1">
      <c r="A310" s="433" t="s">
        <v>1315</v>
      </c>
      <c r="B310" s="434" t="s">
        <v>1804</v>
      </c>
      <c r="C310" s="434" t="s">
        <v>1316</v>
      </c>
      <c r="D310" s="435">
        <v>2.572</v>
      </c>
    </row>
    <row r="311" spans="1:4" ht="12.75" customHeight="1">
      <c r="A311" s="208" t="s">
        <v>1315</v>
      </c>
      <c r="B311" s="179" t="s">
        <v>1317</v>
      </c>
      <c r="C311" s="179" t="s">
        <v>712</v>
      </c>
      <c r="D311" s="209">
        <v>3.9</v>
      </c>
    </row>
    <row r="312" spans="1:4" ht="12.75" customHeight="1">
      <c r="A312" s="427" t="s">
        <v>1315</v>
      </c>
      <c r="B312" s="428" t="s">
        <v>1318</v>
      </c>
      <c r="C312" s="428" t="s">
        <v>1319</v>
      </c>
      <c r="D312" s="429">
        <v>1.4</v>
      </c>
    </row>
    <row r="313" spans="1:4" ht="12.75" customHeight="1">
      <c r="A313" s="212" t="s">
        <v>1155</v>
      </c>
      <c r="B313" s="181" t="s">
        <v>1156</v>
      </c>
      <c r="C313" s="181" t="s">
        <v>1320</v>
      </c>
      <c r="D313" s="213">
        <v>1.39</v>
      </c>
    </row>
    <row r="314" spans="1:4" ht="12.75" customHeight="1">
      <c r="A314" s="430" t="s">
        <v>1371</v>
      </c>
      <c r="B314" s="431" t="s">
        <v>1928</v>
      </c>
      <c r="C314" s="431" t="s">
        <v>1929</v>
      </c>
      <c r="D314" s="432">
        <v>4.124</v>
      </c>
    </row>
    <row r="315" spans="1:4" ht="12.75" customHeight="1">
      <c r="A315" s="206" t="s">
        <v>324</v>
      </c>
      <c r="B315" s="171" t="s">
        <v>1157</v>
      </c>
      <c r="C315" s="171" t="s">
        <v>1777</v>
      </c>
      <c r="D315" s="207">
        <v>26.749</v>
      </c>
    </row>
    <row r="316" spans="1:4" ht="12.75" customHeight="1">
      <c r="A316" s="424" t="s">
        <v>324</v>
      </c>
      <c r="B316" s="425" t="s">
        <v>1158</v>
      </c>
      <c r="C316" s="425" t="s">
        <v>1107</v>
      </c>
      <c r="D316" s="426">
        <v>10.655</v>
      </c>
    </row>
    <row r="317" spans="1:4" ht="12.75" customHeight="1">
      <c r="A317" s="208" t="s">
        <v>324</v>
      </c>
      <c r="B317" s="179" t="s">
        <v>1107</v>
      </c>
      <c r="C317" s="179" t="s">
        <v>1159</v>
      </c>
      <c r="D317" s="209">
        <v>4.03</v>
      </c>
    </row>
    <row r="318" spans="1:4" ht="12.75" customHeight="1">
      <c r="A318" s="424" t="s">
        <v>324</v>
      </c>
      <c r="B318" s="425" t="s">
        <v>1159</v>
      </c>
      <c r="C318" s="425" t="s">
        <v>1161</v>
      </c>
      <c r="D318" s="426">
        <v>9.47</v>
      </c>
    </row>
    <row r="319" spans="1:4" ht="12.75" customHeight="1">
      <c r="A319" s="208" t="s">
        <v>324</v>
      </c>
      <c r="B319" s="179" t="s">
        <v>1161</v>
      </c>
      <c r="C319" s="179" t="s">
        <v>1162</v>
      </c>
      <c r="D319" s="209">
        <v>3.8</v>
      </c>
    </row>
    <row r="320" spans="1:4" ht="12.75" customHeight="1">
      <c r="A320" s="427" t="s">
        <v>324</v>
      </c>
      <c r="B320" s="428" t="s">
        <v>1162</v>
      </c>
      <c r="C320" s="428" t="s">
        <v>378</v>
      </c>
      <c r="D320" s="429">
        <v>3.495</v>
      </c>
    </row>
    <row r="321" spans="1:4" ht="12.75" customHeight="1">
      <c r="A321" s="212" t="s">
        <v>312</v>
      </c>
      <c r="B321" s="181" t="s">
        <v>713</v>
      </c>
      <c r="C321" s="181" t="s">
        <v>714</v>
      </c>
      <c r="D321" s="213">
        <v>16.773</v>
      </c>
    </row>
    <row r="322" spans="1:4" ht="12.75" customHeight="1">
      <c r="A322" s="430" t="s">
        <v>1083</v>
      </c>
      <c r="B322" s="431" t="s">
        <v>1688</v>
      </c>
      <c r="C322" s="431" t="s">
        <v>1084</v>
      </c>
      <c r="D322" s="432">
        <v>4.147</v>
      </c>
    </row>
    <row r="323" spans="1:4" ht="12.75" customHeight="1">
      <c r="A323" s="206" t="s">
        <v>715</v>
      </c>
      <c r="B323" s="171" t="s">
        <v>1082</v>
      </c>
      <c r="C323" s="171" t="s">
        <v>1689</v>
      </c>
      <c r="D323" s="207">
        <v>4.15</v>
      </c>
    </row>
    <row r="324" spans="1:4" ht="12.75" customHeight="1">
      <c r="A324" s="427" t="s">
        <v>715</v>
      </c>
      <c r="B324" s="428" t="s">
        <v>304</v>
      </c>
      <c r="C324" s="428" t="s">
        <v>304</v>
      </c>
      <c r="D324" s="429">
        <v>1.03</v>
      </c>
    </row>
    <row r="325" spans="1:4" ht="12.75" customHeight="1">
      <c r="A325" s="206" t="s">
        <v>716</v>
      </c>
      <c r="B325" s="171" t="s">
        <v>304</v>
      </c>
      <c r="C325" s="171" t="s">
        <v>304</v>
      </c>
      <c r="D325" s="207">
        <v>2.87</v>
      </c>
    </row>
    <row r="326" spans="1:4" ht="12.75" customHeight="1">
      <c r="A326" s="433" t="s">
        <v>325</v>
      </c>
      <c r="B326" s="434" t="s">
        <v>1930</v>
      </c>
      <c r="C326" s="434" t="s">
        <v>1931</v>
      </c>
      <c r="D326" s="435">
        <v>0.53</v>
      </c>
    </row>
    <row r="327" spans="1:4" ht="12.75" customHeight="1">
      <c r="A327" s="208" t="s">
        <v>325</v>
      </c>
      <c r="B327" s="179" t="s">
        <v>773</v>
      </c>
      <c r="C327" s="179" t="s">
        <v>774</v>
      </c>
      <c r="D327" s="209">
        <v>0.47</v>
      </c>
    </row>
    <row r="328" spans="1:4" ht="12.75" customHeight="1">
      <c r="A328" s="424" t="s">
        <v>325</v>
      </c>
      <c r="B328" s="425" t="s">
        <v>1164</v>
      </c>
      <c r="C328" s="425" t="s">
        <v>1163</v>
      </c>
      <c r="D328" s="426">
        <v>4.814</v>
      </c>
    </row>
    <row r="329" spans="1:4" ht="12.75" customHeight="1">
      <c r="A329" s="210" t="s">
        <v>325</v>
      </c>
      <c r="B329" s="180" t="s">
        <v>1163</v>
      </c>
      <c r="C329" s="180" t="s">
        <v>717</v>
      </c>
      <c r="D329" s="211">
        <v>43.49</v>
      </c>
    </row>
    <row r="330" spans="1:4" ht="12.75" customHeight="1">
      <c r="A330" s="433" t="s">
        <v>718</v>
      </c>
      <c r="B330" s="434" t="s">
        <v>719</v>
      </c>
      <c r="C330" s="434" t="s">
        <v>1165</v>
      </c>
      <c r="D330" s="435">
        <v>0.2</v>
      </c>
    </row>
    <row r="331" spans="1:4" ht="12.75" customHeight="1">
      <c r="A331" s="210" t="s">
        <v>718</v>
      </c>
      <c r="B331" s="180" t="s">
        <v>1165</v>
      </c>
      <c r="C331" s="180" t="s">
        <v>1166</v>
      </c>
      <c r="D331" s="211">
        <v>0.6</v>
      </c>
    </row>
    <row r="332" spans="1:4" ht="12.75" customHeight="1">
      <c r="A332" s="430" t="s">
        <v>720</v>
      </c>
      <c r="B332" s="431" t="s">
        <v>721</v>
      </c>
      <c r="C332" s="431" t="s">
        <v>722</v>
      </c>
      <c r="D332" s="432">
        <v>15.332</v>
      </c>
    </row>
    <row r="333" spans="1:4" ht="12.75" customHeight="1">
      <c r="A333" s="212" t="s">
        <v>1372</v>
      </c>
      <c r="B333" s="181" t="s">
        <v>1167</v>
      </c>
      <c r="C333" s="181" t="s">
        <v>1373</v>
      </c>
      <c r="D333" s="213">
        <v>33.148</v>
      </c>
    </row>
    <row r="334" spans="1:4" ht="12.75" customHeight="1">
      <c r="A334" s="427" t="s">
        <v>723</v>
      </c>
      <c r="B334" s="428" t="s">
        <v>1321</v>
      </c>
      <c r="C334" s="428" t="s">
        <v>1322</v>
      </c>
      <c r="D334" s="429">
        <v>6.717</v>
      </c>
    </row>
    <row r="335" spans="1:4" ht="12.75" customHeight="1">
      <c r="A335" s="206" t="s">
        <v>318</v>
      </c>
      <c r="B335" s="171" t="s">
        <v>1168</v>
      </c>
      <c r="C335" s="171" t="s">
        <v>735</v>
      </c>
      <c r="D335" s="207">
        <v>1.05</v>
      </c>
    </row>
    <row r="336" spans="1:4" ht="12.75" customHeight="1">
      <c r="A336" s="427" t="s">
        <v>318</v>
      </c>
      <c r="B336" s="428" t="s">
        <v>736</v>
      </c>
      <c r="C336" s="428" t="s">
        <v>737</v>
      </c>
      <c r="D336" s="429">
        <v>43.3</v>
      </c>
    </row>
    <row r="337" spans="1:4" ht="12.75" customHeight="1">
      <c r="A337" s="416" t="s">
        <v>738</v>
      </c>
      <c r="B337" s="406" t="s">
        <v>1374</v>
      </c>
      <c r="C337" s="417" t="s">
        <v>739</v>
      </c>
      <c r="D337" s="418">
        <v>15.868</v>
      </c>
    </row>
    <row r="338" spans="1:4" ht="12.75" customHeight="1">
      <c r="A338" s="430" t="s">
        <v>740</v>
      </c>
      <c r="B338" s="431" t="s">
        <v>741</v>
      </c>
      <c r="C338" s="431" t="s">
        <v>1169</v>
      </c>
      <c r="D338" s="432">
        <v>0.8</v>
      </c>
    </row>
    <row r="339" spans="1:4" ht="12.75" customHeight="1">
      <c r="A339" s="206" t="s">
        <v>484</v>
      </c>
      <c r="B339" s="171" t="s">
        <v>412</v>
      </c>
      <c r="C339" s="171" t="s">
        <v>742</v>
      </c>
      <c r="D339" s="207">
        <v>1.01</v>
      </c>
    </row>
    <row r="340" spans="1:4" ht="12.75" customHeight="1">
      <c r="A340" s="424" t="s">
        <v>484</v>
      </c>
      <c r="B340" s="425" t="s">
        <v>742</v>
      </c>
      <c r="C340" s="425" t="s">
        <v>1690</v>
      </c>
      <c r="D340" s="426">
        <v>1.339</v>
      </c>
    </row>
    <row r="341" spans="1:4" ht="12.75" customHeight="1">
      <c r="A341" s="412" t="s">
        <v>484</v>
      </c>
      <c r="B341" s="413" t="s">
        <v>1691</v>
      </c>
      <c r="C341" s="415" t="s">
        <v>743</v>
      </c>
      <c r="D341" s="414">
        <v>4.968</v>
      </c>
    </row>
    <row r="342" spans="1:4" ht="12.75" customHeight="1">
      <c r="A342" s="424" t="s">
        <v>484</v>
      </c>
      <c r="B342" s="425" t="s">
        <v>1170</v>
      </c>
      <c r="C342" s="425" t="s">
        <v>745</v>
      </c>
      <c r="D342" s="426">
        <v>0.16</v>
      </c>
    </row>
    <row r="343" spans="1:4" ht="12.75" customHeight="1">
      <c r="A343" s="208" t="s">
        <v>484</v>
      </c>
      <c r="B343" s="179" t="s">
        <v>746</v>
      </c>
      <c r="C343" s="179" t="s">
        <v>747</v>
      </c>
      <c r="D343" s="209">
        <v>1.09</v>
      </c>
    </row>
    <row r="344" spans="1:4" ht="12.75" customHeight="1">
      <c r="A344" s="424" t="s">
        <v>484</v>
      </c>
      <c r="B344" s="425" t="s">
        <v>1323</v>
      </c>
      <c r="C344" s="425" t="s">
        <v>1171</v>
      </c>
      <c r="D344" s="426">
        <v>0.385</v>
      </c>
    </row>
    <row r="345" spans="1:4" ht="12.75" customHeight="1">
      <c r="A345" s="208" t="s">
        <v>484</v>
      </c>
      <c r="B345" s="179" t="s">
        <v>1172</v>
      </c>
      <c r="C345" s="179" t="s">
        <v>1173</v>
      </c>
      <c r="D345" s="209">
        <v>0.14</v>
      </c>
    </row>
    <row r="346" spans="1:4" ht="12.75" customHeight="1">
      <c r="A346" s="424" t="s">
        <v>484</v>
      </c>
      <c r="B346" s="425" t="s">
        <v>748</v>
      </c>
      <c r="C346" s="425" t="s">
        <v>413</v>
      </c>
      <c r="D346" s="426">
        <v>0.79</v>
      </c>
    </row>
    <row r="347" spans="1:4" ht="12.75" customHeight="1">
      <c r="A347" s="208" t="s">
        <v>484</v>
      </c>
      <c r="B347" s="179" t="s">
        <v>485</v>
      </c>
      <c r="C347" s="179" t="s">
        <v>1174</v>
      </c>
      <c r="D347" s="209">
        <v>0.57</v>
      </c>
    </row>
    <row r="348" spans="1:4" ht="12.75" customHeight="1">
      <c r="A348" s="424" t="s">
        <v>484</v>
      </c>
      <c r="B348" s="425" t="s">
        <v>1175</v>
      </c>
      <c r="C348" s="425" t="s">
        <v>1176</v>
      </c>
      <c r="D348" s="426">
        <v>1.05</v>
      </c>
    </row>
    <row r="349" spans="1:4" ht="12.75" customHeight="1">
      <c r="A349" s="208" t="s">
        <v>484</v>
      </c>
      <c r="B349" s="179" t="s">
        <v>1177</v>
      </c>
      <c r="C349" s="179" t="s">
        <v>1178</v>
      </c>
      <c r="D349" s="209">
        <v>0.66</v>
      </c>
    </row>
    <row r="350" spans="1:4" ht="12.75" customHeight="1">
      <c r="A350" s="424" t="s">
        <v>484</v>
      </c>
      <c r="B350" s="425" t="s">
        <v>749</v>
      </c>
      <c r="C350" s="425" t="s">
        <v>483</v>
      </c>
      <c r="D350" s="426">
        <v>0.39</v>
      </c>
    </row>
    <row r="351" spans="1:4" ht="12.75" customHeight="1">
      <c r="A351" s="208" t="s">
        <v>484</v>
      </c>
      <c r="B351" s="179" t="s">
        <v>483</v>
      </c>
      <c r="C351" s="179" t="s">
        <v>750</v>
      </c>
      <c r="D351" s="209">
        <v>1.77</v>
      </c>
    </row>
    <row r="352" spans="1:4" ht="12.75" customHeight="1">
      <c r="A352" s="427" t="s">
        <v>484</v>
      </c>
      <c r="B352" s="428" t="s">
        <v>1938</v>
      </c>
      <c r="C352" s="428" t="s">
        <v>1939</v>
      </c>
      <c r="D352" s="429">
        <v>2.24</v>
      </c>
    </row>
    <row r="353" spans="1:4" ht="12.75" customHeight="1">
      <c r="A353" s="206" t="s">
        <v>246</v>
      </c>
      <c r="B353" s="171" t="s">
        <v>383</v>
      </c>
      <c r="C353" s="171" t="s">
        <v>1940</v>
      </c>
      <c r="D353" s="207">
        <v>1.612</v>
      </c>
    </row>
    <row r="354" spans="1:4" ht="12.75" customHeight="1">
      <c r="A354" s="424" t="s">
        <v>246</v>
      </c>
      <c r="B354" s="425" t="s">
        <v>1941</v>
      </c>
      <c r="C354" s="425" t="s">
        <v>1942</v>
      </c>
      <c r="D354" s="426">
        <v>0.06</v>
      </c>
    </row>
    <row r="355" spans="1:4" ht="12.75" customHeight="1">
      <c r="A355" s="208" t="s">
        <v>246</v>
      </c>
      <c r="B355" s="179" t="s">
        <v>1943</v>
      </c>
      <c r="C355" s="179" t="s">
        <v>1944</v>
      </c>
      <c r="D355" s="209">
        <v>9.445</v>
      </c>
    </row>
    <row r="356" spans="1:4" ht="12.75" customHeight="1">
      <c r="A356" s="424" t="s">
        <v>246</v>
      </c>
      <c r="B356" s="425" t="s">
        <v>400</v>
      </c>
      <c r="C356" s="425" t="s">
        <v>1945</v>
      </c>
      <c r="D356" s="426">
        <v>1.05</v>
      </c>
    </row>
    <row r="357" spans="1:4" ht="12.75" customHeight="1">
      <c r="A357" s="210" t="s">
        <v>246</v>
      </c>
      <c r="B357" s="180" t="s">
        <v>1185</v>
      </c>
      <c r="C357" s="180" t="s">
        <v>1186</v>
      </c>
      <c r="D357" s="211">
        <v>50.168</v>
      </c>
    </row>
    <row r="358" spans="1:4" ht="12.75" customHeight="1">
      <c r="A358" s="433" t="s">
        <v>13</v>
      </c>
      <c r="B358" s="434" t="s">
        <v>1187</v>
      </c>
      <c r="C358" s="434" t="s">
        <v>1324</v>
      </c>
      <c r="D358" s="435">
        <v>2.465</v>
      </c>
    </row>
    <row r="359" spans="1:4" ht="12.75" customHeight="1">
      <c r="A359" s="208" t="s">
        <v>13</v>
      </c>
      <c r="B359" s="179" t="s">
        <v>1325</v>
      </c>
      <c r="C359" s="179" t="s">
        <v>1326</v>
      </c>
      <c r="D359" s="209">
        <v>0.26</v>
      </c>
    </row>
    <row r="360" spans="1:4" ht="12.75" customHeight="1">
      <c r="A360" s="424" t="s">
        <v>13</v>
      </c>
      <c r="B360" s="425" t="s">
        <v>1327</v>
      </c>
      <c r="C360" s="425" t="s">
        <v>1328</v>
      </c>
      <c r="D360" s="426">
        <v>2.195</v>
      </c>
    </row>
    <row r="361" spans="1:4" ht="12.75" customHeight="1">
      <c r="A361" s="208" t="s">
        <v>13</v>
      </c>
      <c r="B361" s="179" t="s">
        <v>1188</v>
      </c>
      <c r="C361" s="179" t="s">
        <v>1329</v>
      </c>
      <c r="D361" s="209">
        <v>0.11</v>
      </c>
    </row>
    <row r="362" spans="1:4" ht="12.75" customHeight="1">
      <c r="A362" s="424" t="s">
        <v>13</v>
      </c>
      <c r="B362" s="425" t="s">
        <v>1330</v>
      </c>
      <c r="C362" s="425" t="s">
        <v>1189</v>
      </c>
      <c r="D362" s="426">
        <v>5.57</v>
      </c>
    </row>
    <row r="363" spans="1:4" ht="12.75" customHeight="1">
      <c r="A363" s="208" t="s">
        <v>13</v>
      </c>
      <c r="B363" s="179" t="s">
        <v>1190</v>
      </c>
      <c r="C363" s="179" t="s">
        <v>1191</v>
      </c>
      <c r="D363" s="209">
        <v>0.579</v>
      </c>
    </row>
    <row r="364" spans="1:4" ht="12.75" customHeight="1">
      <c r="A364" s="427" t="s">
        <v>13</v>
      </c>
      <c r="B364" s="428" t="s">
        <v>1192</v>
      </c>
      <c r="C364" s="428" t="s">
        <v>1193</v>
      </c>
      <c r="D364" s="429">
        <v>0.625</v>
      </c>
    </row>
    <row r="365" spans="1:4" ht="12.75" customHeight="1">
      <c r="A365" s="206" t="s">
        <v>1692</v>
      </c>
      <c r="B365" s="171" t="s">
        <v>1194</v>
      </c>
      <c r="C365" s="171" t="s">
        <v>724</v>
      </c>
      <c r="D365" s="207">
        <v>0.42</v>
      </c>
    </row>
    <row r="366" spans="1:4" ht="12.75" customHeight="1">
      <c r="A366" s="427" t="s">
        <v>1692</v>
      </c>
      <c r="B366" s="428" t="s">
        <v>733</v>
      </c>
      <c r="C366" s="428" t="s">
        <v>734</v>
      </c>
      <c r="D366" s="429">
        <v>0.62</v>
      </c>
    </row>
    <row r="367" spans="1:4" ht="15">
      <c r="A367" s="214"/>
      <c r="B367" s="214"/>
      <c r="C367" s="443" t="s">
        <v>372</v>
      </c>
      <c r="D367" s="446">
        <f>SUM(D122:D366)</f>
        <v>1579.256999999999</v>
      </c>
    </row>
    <row r="368" spans="1:4" ht="15">
      <c r="A368" s="214"/>
      <c r="B368" s="214"/>
      <c r="C368" s="214"/>
      <c r="D368" s="215"/>
    </row>
    <row r="369" spans="1:4" ht="15">
      <c r="A369" s="441" t="s">
        <v>373</v>
      </c>
      <c r="B369" s="445"/>
      <c r="C369" s="214"/>
      <c r="D369" s="215"/>
    </row>
    <row r="370" spans="1:4" ht="12.75" customHeight="1">
      <c r="A370" s="212" t="s">
        <v>751</v>
      </c>
      <c r="B370" s="419" t="s">
        <v>752</v>
      </c>
      <c r="C370" s="419" t="s">
        <v>414</v>
      </c>
      <c r="D370" s="213">
        <v>3.269</v>
      </c>
    </row>
    <row r="371" spans="1:4" ht="12.75" customHeight="1">
      <c r="A371" s="433" t="s">
        <v>753</v>
      </c>
      <c r="B371" s="447" t="s">
        <v>754</v>
      </c>
      <c r="C371" s="447" t="s">
        <v>755</v>
      </c>
      <c r="D371" s="435">
        <v>0.585</v>
      </c>
    </row>
    <row r="372" spans="1:4" ht="12.75" customHeight="1">
      <c r="A372" s="208" t="s">
        <v>753</v>
      </c>
      <c r="B372" s="241" t="s">
        <v>755</v>
      </c>
      <c r="C372" s="241" t="s">
        <v>756</v>
      </c>
      <c r="D372" s="209">
        <v>1.44</v>
      </c>
    </row>
    <row r="373" spans="1:4" ht="12.75" customHeight="1">
      <c r="A373" s="427" t="s">
        <v>753</v>
      </c>
      <c r="B373" s="448" t="s">
        <v>757</v>
      </c>
      <c r="C373" s="448" t="s">
        <v>758</v>
      </c>
      <c r="D373" s="429">
        <v>3.99</v>
      </c>
    </row>
    <row r="374" spans="1:4" ht="12.75" customHeight="1">
      <c r="A374" s="212" t="s">
        <v>759</v>
      </c>
      <c r="B374" s="419" t="s">
        <v>760</v>
      </c>
      <c r="C374" s="419" t="s">
        <v>760</v>
      </c>
      <c r="D374" s="213">
        <v>0.948</v>
      </c>
    </row>
    <row r="375" spans="1:4" ht="12.75" customHeight="1">
      <c r="A375" s="433" t="s">
        <v>761</v>
      </c>
      <c r="B375" s="447" t="s">
        <v>784</v>
      </c>
      <c r="C375" s="447" t="s">
        <v>785</v>
      </c>
      <c r="D375" s="435">
        <v>3.615</v>
      </c>
    </row>
    <row r="376" spans="1:4" ht="12.75" customHeight="1">
      <c r="A376" s="210" t="s">
        <v>761</v>
      </c>
      <c r="B376" s="421" t="s">
        <v>1908</v>
      </c>
      <c r="C376" s="421" t="s">
        <v>526</v>
      </c>
      <c r="D376" s="211">
        <v>7.43</v>
      </c>
    </row>
    <row r="377" spans="1:4" ht="12.75" customHeight="1">
      <c r="A377" s="433" t="s">
        <v>786</v>
      </c>
      <c r="B377" s="447" t="s">
        <v>1693</v>
      </c>
      <c r="C377" s="447" t="s">
        <v>1694</v>
      </c>
      <c r="D377" s="435">
        <v>0.405</v>
      </c>
    </row>
    <row r="378" spans="1:4" ht="12.75" customHeight="1">
      <c r="A378" s="208" t="s">
        <v>786</v>
      </c>
      <c r="B378" s="241" t="s">
        <v>1695</v>
      </c>
      <c r="C378" s="241" t="s">
        <v>1696</v>
      </c>
      <c r="D378" s="209">
        <v>0.27</v>
      </c>
    </row>
    <row r="379" spans="1:4" ht="12.75" customHeight="1">
      <c r="A379" s="427" t="s">
        <v>786</v>
      </c>
      <c r="B379" s="448" t="s">
        <v>787</v>
      </c>
      <c r="C379" s="448" t="s">
        <v>823</v>
      </c>
      <c r="D379" s="429">
        <v>1.56</v>
      </c>
    </row>
    <row r="380" spans="1:4" ht="12.75" customHeight="1">
      <c r="A380" s="206" t="s">
        <v>669</v>
      </c>
      <c r="B380" s="420" t="s">
        <v>671</v>
      </c>
      <c r="C380" s="420" t="s">
        <v>1909</v>
      </c>
      <c r="D380" s="207">
        <v>16.575</v>
      </c>
    </row>
    <row r="381" spans="1:4" ht="12.75" customHeight="1">
      <c r="A381" s="427" t="s">
        <v>669</v>
      </c>
      <c r="B381" s="448" t="s">
        <v>788</v>
      </c>
      <c r="C381" s="448" t="s">
        <v>789</v>
      </c>
      <c r="D381" s="429">
        <v>0.952</v>
      </c>
    </row>
    <row r="382" spans="1:4" ht="12.75" customHeight="1">
      <c r="A382" s="212" t="s">
        <v>790</v>
      </c>
      <c r="B382" s="419" t="s">
        <v>527</v>
      </c>
      <c r="C382" s="419" t="s">
        <v>791</v>
      </c>
      <c r="D382" s="213">
        <v>11.01</v>
      </c>
    </row>
    <row r="383" spans="1:4" ht="12.75" customHeight="1">
      <c r="A383" s="430" t="s">
        <v>303</v>
      </c>
      <c r="B383" s="449" t="s">
        <v>1133</v>
      </c>
      <c r="C383" s="449" t="s">
        <v>1697</v>
      </c>
      <c r="D383" s="432">
        <v>3.945</v>
      </c>
    </row>
    <row r="384" spans="1:4" ht="12.75" customHeight="1">
      <c r="A384" s="212" t="s">
        <v>1136</v>
      </c>
      <c r="B384" s="419" t="s">
        <v>1226</v>
      </c>
      <c r="C384" s="419" t="s">
        <v>1331</v>
      </c>
      <c r="D384" s="213">
        <v>10.76</v>
      </c>
    </row>
    <row r="385" spans="1:4" ht="12.75" customHeight="1">
      <c r="A385" s="430" t="s">
        <v>319</v>
      </c>
      <c r="B385" s="449" t="s">
        <v>1805</v>
      </c>
      <c r="C385" s="449" t="s">
        <v>683</v>
      </c>
      <c r="D385" s="432">
        <v>3.358</v>
      </c>
    </row>
    <row r="386" spans="1:4" ht="12.75" customHeight="1">
      <c r="A386" s="206" t="s">
        <v>320</v>
      </c>
      <c r="B386" s="420" t="s">
        <v>432</v>
      </c>
      <c r="C386" s="420" t="s">
        <v>433</v>
      </c>
      <c r="D386" s="207">
        <v>1.7</v>
      </c>
    </row>
    <row r="387" spans="1:4" ht="12.75" customHeight="1">
      <c r="A387" s="427" t="s">
        <v>320</v>
      </c>
      <c r="B387" s="448" t="s">
        <v>1376</v>
      </c>
      <c r="C387" s="448" t="s">
        <v>792</v>
      </c>
      <c r="D387" s="429">
        <v>6.745</v>
      </c>
    </row>
    <row r="388" spans="1:4" ht="12.75" customHeight="1">
      <c r="A388" s="208" t="s">
        <v>1920</v>
      </c>
      <c r="B388" s="241" t="s">
        <v>1921</v>
      </c>
      <c r="C388" s="241" t="s">
        <v>1922</v>
      </c>
      <c r="D388" s="209">
        <v>2.54</v>
      </c>
    </row>
    <row r="389" spans="1:4" ht="12.75" customHeight="1">
      <c r="A389" s="433" t="s">
        <v>793</v>
      </c>
      <c r="B389" s="447" t="s">
        <v>1332</v>
      </c>
      <c r="C389" s="447" t="s">
        <v>794</v>
      </c>
      <c r="D389" s="435">
        <v>4.463</v>
      </c>
    </row>
    <row r="390" spans="1:4" ht="12.75" customHeight="1">
      <c r="A390" s="208" t="s">
        <v>793</v>
      </c>
      <c r="B390" s="241" t="s">
        <v>503</v>
      </c>
      <c r="C390" s="241" t="s">
        <v>504</v>
      </c>
      <c r="D390" s="209">
        <v>0.256</v>
      </c>
    </row>
    <row r="391" spans="1:4" ht="12.75" customHeight="1">
      <c r="A391" s="424" t="s">
        <v>793</v>
      </c>
      <c r="B391" s="450" t="s">
        <v>799</v>
      </c>
      <c r="C391" s="450" t="s">
        <v>800</v>
      </c>
      <c r="D391" s="426">
        <v>0.38</v>
      </c>
    </row>
    <row r="392" spans="1:4" ht="12.75" customHeight="1">
      <c r="A392" s="210" t="s">
        <v>793</v>
      </c>
      <c r="B392" s="421" t="s">
        <v>1806</v>
      </c>
      <c r="C392" s="421" t="s">
        <v>505</v>
      </c>
      <c r="D392" s="211">
        <v>1.41</v>
      </c>
    </row>
    <row r="393" spans="1:4" ht="12.75" customHeight="1">
      <c r="A393" s="433" t="s">
        <v>801</v>
      </c>
      <c r="B393" s="447" t="s">
        <v>1334</v>
      </c>
      <c r="C393" s="447" t="s">
        <v>1807</v>
      </c>
      <c r="D393" s="435">
        <v>0.348</v>
      </c>
    </row>
    <row r="394" spans="1:4" ht="12.75" customHeight="1">
      <c r="A394" s="206" t="s">
        <v>802</v>
      </c>
      <c r="B394" s="420" t="s">
        <v>803</v>
      </c>
      <c r="C394" s="420" t="s">
        <v>804</v>
      </c>
      <c r="D394" s="207">
        <v>9.28</v>
      </c>
    </row>
    <row r="395" spans="1:4" ht="12.75" customHeight="1">
      <c r="A395" s="424" t="s">
        <v>802</v>
      </c>
      <c r="B395" s="450" t="s">
        <v>506</v>
      </c>
      <c r="C395" s="450" t="s">
        <v>1698</v>
      </c>
      <c r="D395" s="426">
        <v>0.705</v>
      </c>
    </row>
    <row r="396" spans="1:4" ht="12.75" customHeight="1">
      <c r="A396" s="208" t="s">
        <v>802</v>
      </c>
      <c r="B396" s="241" t="s">
        <v>1377</v>
      </c>
      <c r="C396" s="241" t="s">
        <v>507</v>
      </c>
      <c r="D396" s="209">
        <v>12.02</v>
      </c>
    </row>
    <row r="397" spans="1:4" ht="12.75" customHeight="1">
      <c r="A397" s="427" t="s">
        <v>802</v>
      </c>
      <c r="B397" s="448" t="s">
        <v>507</v>
      </c>
      <c r="C397" s="448" t="s">
        <v>805</v>
      </c>
      <c r="D397" s="429">
        <v>2.204</v>
      </c>
    </row>
    <row r="398" spans="1:4" ht="12.75" customHeight="1">
      <c r="A398" s="206" t="s">
        <v>806</v>
      </c>
      <c r="B398" s="420" t="s">
        <v>508</v>
      </c>
      <c r="C398" s="420" t="s">
        <v>1384</v>
      </c>
      <c r="D398" s="207">
        <v>1.556</v>
      </c>
    </row>
    <row r="399" spans="1:4" ht="12.75" customHeight="1">
      <c r="A399" s="424" t="s">
        <v>806</v>
      </c>
      <c r="B399" s="450" t="s">
        <v>1378</v>
      </c>
      <c r="C399" s="450" t="s">
        <v>797</v>
      </c>
      <c r="D399" s="426">
        <v>2.71</v>
      </c>
    </row>
    <row r="400" spans="1:4" ht="12.75" customHeight="1">
      <c r="A400" s="208" t="s">
        <v>806</v>
      </c>
      <c r="B400" s="241" t="s">
        <v>1379</v>
      </c>
      <c r="C400" s="241" t="s">
        <v>798</v>
      </c>
      <c r="D400" s="209">
        <v>0.343</v>
      </c>
    </row>
    <row r="401" spans="1:4" ht="12.75" customHeight="1">
      <c r="A401" s="427" t="s">
        <v>806</v>
      </c>
      <c r="B401" s="448" t="s">
        <v>1380</v>
      </c>
      <c r="C401" s="448" t="s">
        <v>1808</v>
      </c>
      <c r="D401" s="429">
        <v>4.598</v>
      </c>
    </row>
    <row r="402" spans="1:4" ht="12.75" customHeight="1">
      <c r="A402" s="212" t="s">
        <v>807</v>
      </c>
      <c r="B402" s="419" t="s">
        <v>808</v>
      </c>
      <c r="C402" s="419" t="s">
        <v>809</v>
      </c>
      <c r="D402" s="213">
        <v>2.905</v>
      </c>
    </row>
    <row r="403" spans="1:4" ht="12.75" customHeight="1">
      <c r="A403" s="430" t="s">
        <v>810</v>
      </c>
      <c r="B403" s="449" t="s">
        <v>509</v>
      </c>
      <c r="C403" s="449" t="s">
        <v>811</v>
      </c>
      <c r="D403" s="432">
        <v>2.125</v>
      </c>
    </row>
    <row r="404" spans="1:4" ht="12.75" customHeight="1">
      <c r="A404" s="212" t="s">
        <v>812</v>
      </c>
      <c r="B404" s="419" t="s">
        <v>813</v>
      </c>
      <c r="C404" s="419" t="s">
        <v>814</v>
      </c>
      <c r="D404" s="213">
        <v>2.57</v>
      </c>
    </row>
    <row r="405" spans="1:4" ht="12.75" customHeight="1">
      <c r="A405" s="433" t="s">
        <v>699</v>
      </c>
      <c r="B405" s="447" t="s">
        <v>415</v>
      </c>
      <c r="C405" s="447" t="s">
        <v>816</v>
      </c>
      <c r="D405" s="435">
        <v>18.971</v>
      </c>
    </row>
    <row r="406" spans="1:4" ht="12.75" customHeight="1">
      <c r="A406" s="208" t="s">
        <v>699</v>
      </c>
      <c r="B406" s="241" t="s">
        <v>510</v>
      </c>
      <c r="C406" s="241" t="s">
        <v>683</v>
      </c>
      <c r="D406" s="209">
        <v>2.17</v>
      </c>
    </row>
    <row r="407" spans="1:4" ht="12.75" customHeight="1">
      <c r="A407" s="427" t="s">
        <v>699</v>
      </c>
      <c r="B407" s="448" t="s">
        <v>817</v>
      </c>
      <c r="C407" s="448" t="s">
        <v>1335</v>
      </c>
      <c r="D407" s="429">
        <v>7.97</v>
      </c>
    </row>
    <row r="408" spans="1:4" ht="12.75" customHeight="1">
      <c r="A408" s="212" t="s">
        <v>336</v>
      </c>
      <c r="B408" s="419" t="s">
        <v>818</v>
      </c>
      <c r="C408" s="419" t="s">
        <v>337</v>
      </c>
      <c r="D408" s="213">
        <v>1.05</v>
      </c>
    </row>
    <row r="409" spans="1:4" ht="12.75" customHeight="1">
      <c r="A409" s="433" t="s">
        <v>306</v>
      </c>
      <c r="B409" s="447" t="s">
        <v>434</v>
      </c>
      <c r="C409" s="447" t="s">
        <v>511</v>
      </c>
      <c r="D409" s="435">
        <v>24.459</v>
      </c>
    </row>
    <row r="410" spans="1:4" ht="12.75" customHeight="1">
      <c r="A410" s="208" t="s">
        <v>306</v>
      </c>
      <c r="B410" s="241" t="s">
        <v>511</v>
      </c>
      <c r="C410" s="241" t="s">
        <v>512</v>
      </c>
      <c r="D410" s="209">
        <v>16.807</v>
      </c>
    </row>
    <row r="411" spans="1:4" ht="12.75" customHeight="1">
      <c r="A411" s="427" t="s">
        <v>306</v>
      </c>
      <c r="B411" s="448" t="s">
        <v>512</v>
      </c>
      <c r="C411" s="448" t="s">
        <v>349</v>
      </c>
      <c r="D411" s="429">
        <v>6.345</v>
      </c>
    </row>
    <row r="412" spans="1:4" ht="12.75" customHeight="1">
      <c r="A412" s="206" t="s">
        <v>513</v>
      </c>
      <c r="B412" s="420" t="s">
        <v>514</v>
      </c>
      <c r="C412" s="420" t="s">
        <v>515</v>
      </c>
      <c r="D412" s="207">
        <v>11.06</v>
      </c>
    </row>
    <row r="413" spans="1:4" ht="12.75" customHeight="1">
      <c r="A413" s="427" t="s">
        <v>513</v>
      </c>
      <c r="B413" s="448" t="s">
        <v>516</v>
      </c>
      <c r="C413" s="448" t="s">
        <v>517</v>
      </c>
      <c r="D413" s="429">
        <v>3.075</v>
      </c>
    </row>
    <row r="414" spans="1:4" ht="12.75" customHeight="1">
      <c r="A414" s="212" t="s">
        <v>326</v>
      </c>
      <c r="B414" s="419" t="s">
        <v>405</v>
      </c>
      <c r="C414" s="419" t="s">
        <v>819</v>
      </c>
      <c r="D414" s="213">
        <v>21.495</v>
      </c>
    </row>
    <row r="415" spans="1:4" ht="12.75" customHeight="1">
      <c r="A415" s="430" t="s">
        <v>482</v>
      </c>
      <c r="B415" s="449" t="s">
        <v>725</v>
      </c>
      <c r="C415" s="449" t="s">
        <v>726</v>
      </c>
      <c r="D415" s="432">
        <v>5.9</v>
      </c>
    </row>
    <row r="416" spans="1:4" ht="12.75" customHeight="1">
      <c r="A416" s="212" t="s">
        <v>820</v>
      </c>
      <c r="B416" s="419" t="s">
        <v>1336</v>
      </c>
      <c r="C416" s="419" t="s">
        <v>1260</v>
      </c>
      <c r="D416" s="213">
        <v>27.786</v>
      </c>
    </row>
    <row r="417" spans="1:4" ht="12.75" customHeight="1">
      <c r="A417" s="433" t="s">
        <v>821</v>
      </c>
      <c r="B417" s="447" t="s">
        <v>1337</v>
      </c>
      <c r="C417" s="447" t="s">
        <v>518</v>
      </c>
      <c r="D417" s="435">
        <v>27.008</v>
      </c>
    </row>
    <row r="418" spans="1:4" ht="12.75" customHeight="1">
      <c r="A418" s="210" t="s">
        <v>821</v>
      </c>
      <c r="B418" s="421" t="s">
        <v>519</v>
      </c>
      <c r="C418" s="421" t="s">
        <v>1385</v>
      </c>
      <c r="D418" s="211">
        <v>37.029</v>
      </c>
    </row>
    <row r="419" spans="1:4" ht="12.75" customHeight="1">
      <c r="A419" s="433" t="s">
        <v>327</v>
      </c>
      <c r="B419" s="447" t="s">
        <v>520</v>
      </c>
      <c r="C419" s="447" t="s">
        <v>345</v>
      </c>
      <c r="D419" s="435">
        <v>2.4</v>
      </c>
    </row>
    <row r="420" spans="1:4" ht="12.75" customHeight="1">
      <c r="A420" s="210" t="s">
        <v>327</v>
      </c>
      <c r="B420" s="421" t="s">
        <v>368</v>
      </c>
      <c r="C420" s="421" t="s">
        <v>824</v>
      </c>
      <c r="D420" s="211">
        <v>19.768</v>
      </c>
    </row>
    <row r="421" spans="1:4" ht="12.75" customHeight="1">
      <c r="A421" s="430" t="s">
        <v>825</v>
      </c>
      <c r="B421" s="449" t="s">
        <v>1932</v>
      </c>
      <c r="C421" s="449" t="s">
        <v>521</v>
      </c>
      <c r="D421" s="432">
        <v>1.77</v>
      </c>
    </row>
    <row r="422" spans="1:4" ht="12.75" customHeight="1">
      <c r="A422" s="206" t="s">
        <v>328</v>
      </c>
      <c r="B422" s="420" t="s">
        <v>826</v>
      </c>
      <c r="C422" s="420" t="s">
        <v>350</v>
      </c>
      <c r="D422" s="207">
        <v>32.04</v>
      </c>
    </row>
    <row r="423" spans="1:4" ht="12.75" customHeight="1">
      <c r="A423" s="424" t="s">
        <v>328</v>
      </c>
      <c r="B423" s="450" t="s">
        <v>350</v>
      </c>
      <c r="C423" s="450" t="s">
        <v>523</v>
      </c>
      <c r="D423" s="426">
        <v>1.794</v>
      </c>
    </row>
    <row r="424" spans="1:4" ht="12.75" customHeight="1">
      <c r="A424" s="208" t="s">
        <v>328</v>
      </c>
      <c r="B424" s="241" t="s">
        <v>524</v>
      </c>
      <c r="C424" s="241" t="s">
        <v>351</v>
      </c>
      <c r="D424" s="209">
        <v>8.436</v>
      </c>
    </row>
    <row r="425" spans="1:4" ht="12.75" customHeight="1">
      <c r="A425" s="424" t="s">
        <v>328</v>
      </c>
      <c r="B425" s="450" t="s">
        <v>351</v>
      </c>
      <c r="C425" s="450" t="s">
        <v>416</v>
      </c>
      <c r="D425" s="426">
        <v>3.525</v>
      </c>
    </row>
    <row r="426" spans="1:4" ht="12.75" customHeight="1">
      <c r="A426" s="208" t="s">
        <v>328</v>
      </c>
      <c r="B426" s="241" t="s">
        <v>416</v>
      </c>
      <c r="C426" s="241" t="s">
        <v>827</v>
      </c>
      <c r="D426" s="209">
        <v>0.044</v>
      </c>
    </row>
    <row r="427" spans="1:4" ht="12.75" customHeight="1">
      <c r="A427" s="427" t="s">
        <v>328</v>
      </c>
      <c r="B427" s="448" t="s">
        <v>835</v>
      </c>
      <c r="C427" s="448" t="s">
        <v>522</v>
      </c>
      <c r="D427" s="429">
        <v>3.291</v>
      </c>
    </row>
    <row r="428" spans="1:4" ht="12.75" customHeight="1">
      <c r="A428" s="206" t="s">
        <v>836</v>
      </c>
      <c r="B428" s="420" t="s">
        <v>525</v>
      </c>
      <c r="C428" s="420" t="s">
        <v>828</v>
      </c>
      <c r="D428" s="207">
        <v>1.65</v>
      </c>
    </row>
    <row r="429" spans="1:4" ht="12.75" customHeight="1">
      <c r="A429" s="430" t="s">
        <v>1227</v>
      </c>
      <c r="B429" s="449" t="s">
        <v>1085</v>
      </c>
      <c r="C429" s="449" t="s">
        <v>1228</v>
      </c>
      <c r="D429" s="432">
        <v>15.095</v>
      </c>
    </row>
    <row r="430" spans="1:4" ht="12.75" customHeight="1">
      <c r="A430" s="212" t="s">
        <v>837</v>
      </c>
      <c r="B430" s="419" t="s">
        <v>838</v>
      </c>
      <c r="C430" s="419" t="s">
        <v>839</v>
      </c>
      <c r="D430" s="213">
        <v>8.5</v>
      </c>
    </row>
    <row r="431" spans="1:4" ht="12.75" customHeight="1">
      <c r="A431" s="430" t="s">
        <v>840</v>
      </c>
      <c r="B431" s="449" t="s">
        <v>841</v>
      </c>
      <c r="C431" s="449" t="s">
        <v>1338</v>
      </c>
      <c r="D431" s="432">
        <v>8.268</v>
      </c>
    </row>
    <row r="432" spans="1:4" ht="12.75" customHeight="1">
      <c r="A432" s="212" t="s">
        <v>1229</v>
      </c>
      <c r="B432" s="419" t="s">
        <v>1230</v>
      </c>
      <c r="C432" s="419" t="s">
        <v>1231</v>
      </c>
      <c r="D432" s="213">
        <v>2.09</v>
      </c>
    </row>
    <row r="433" spans="1:4" ht="12.75" customHeight="1">
      <c r="A433" s="430" t="s">
        <v>842</v>
      </c>
      <c r="B433" s="449" t="s">
        <v>843</v>
      </c>
      <c r="C433" s="449" t="s">
        <v>1232</v>
      </c>
      <c r="D433" s="432">
        <v>7.005</v>
      </c>
    </row>
    <row r="434" spans="1:4" ht="12.75" customHeight="1">
      <c r="A434" s="212" t="s">
        <v>844</v>
      </c>
      <c r="B434" s="419" t="s">
        <v>845</v>
      </c>
      <c r="C434" s="419" t="s">
        <v>846</v>
      </c>
      <c r="D434" s="213">
        <v>24.388</v>
      </c>
    </row>
    <row r="435" spans="1:4" ht="12.75" customHeight="1">
      <c r="A435" s="430" t="s">
        <v>1809</v>
      </c>
      <c r="B435" s="449" t="s">
        <v>1810</v>
      </c>
      <c r="C435" s="449" t="s">
        <v>1811</v>
      </c>
      <c r="D435" s="432">
        <v>1.005</v>
      </c>
    </row>
    <row r="436" spans="1:4" ht="12.75" customHeight="1">
      <c r="A436" s="212" t="s">
        <v>847</v>
      </c>
      <c r="B436" s="419" t="s">
        <v>848</v>
      </c>
      <c r="C436" s="419" t="s">
        <v>406</v>
      </c>
      <c r="D436" s="213">
        <v>8.717</v>
      </c>
    </row>
    <row r="437" spans="1:4" ht="12.75" customHeight="1">
      <c r="A437" s="430" t="s">
        <v>849</v>
      </c>
      <c r="B437" s="449" t="s">
        <v>1812</v>
      </c>
      <c r="C437" s="449" t="s">
        <v>1233</v>
      </c>
      <c r="D437" s="432">
        <v>13.15</v>
      </c>
    </row>
    <row r="438" spans="1:4" ht="12.75" customHeight="1">
      <c r="A438" s="212" t="s">
        <v>850</v>
      </c>
      <c r="B438" s="419" t="s">
        <v>851</v>
      </c>
      <c r="C438" s="419" t="s">
        <v>852</v>
      </c>
      <c r="D438" s="213">
        <v>6.905</v>
      </c>
    </row>
    <row r="439" spans="1:4" ht="12.75" customHeight="1">
      <c r="A439" s="430" t="s">
        <v>853</v>
      </c>
      <c r="B439" s="449" t="s">
        <v>1234</v>
      </c>
      <c r="C439" s="449" t="s">
        <v>1339</v>
      </c>
      <c r="D439" s="432">
        <v>0.667</v>
      </c>
    </row>
    <row r="440" spans="1:4" ht="12.75" customHeight="1">
      <c r="A440" s="212" t="s">
        <v>854</v>
      </c>
      <c r="B440" s="419" t="s">
        <v>855</v>
      </c>
      <c r="C440" s="419" t="s">
        <v>856</v>
      </c>
      <c r="D440" s="213">
        <v>7.045</v>
      </c>
    </row>
    <row r="441" spans="1:4" ht="12.75" customHeight="1">
      <c r="A441" s="430" t="s">
        <v>857</v>
      </c>
      <c r="B441" s="449" t="s">
        <v>1235</v>
      </c>
      <c r="C441" s="449" t="s">
        <v>1336</v>
      </c>
      <c r="D441" s="432">
        <v>11.327</v>
      </c>
    </row>
    <row r="442" spans="1:4" ht="12.75" customHeight="1">
      <c r="A442" s="212" t="s">
        <v>858</v>
      </c>
      <c r="B442" s="419" t="s">
        <v>1340</v>
      </c>
      <c r="C442" s="419" t="s">
        <v>1341</v>
      </c>
      <c r="D442" s="213">
        <v>4</v>
      </c>
    </row>
    <row r="443" spans="1:4" ht="12.75" customHeight="1">
      <c r="A443" s="430" t="s">
        <v>859</v>
      </c>
      <c r="B443" s="449" t="s">
        <v>1236</v>
      </c>
      <c r="C443" s="449" t="s">
        <v>1237</v>
      </c>
      <c r="D443" s="432">
        <v>32.07</v>
      </c>
    </row>
    <row r="444" spans="1:4" ht="12.75" customHeight="1">
      <c r="A444" s="212" t="s">
        <v>860</v>
      </c>
      <c r="B444" s="419" t="s">
        <v>861</v>
      </c>
      <c r="C444" s="419" t="s">
        <v>862</v>
      </c>
      <c r="D444" s="213">
        <v>30.633</v>
      </c>
    </row>
    <row r="445" spans="1:4" ht="12.75" customHeight="1">
      <c r="A445" s="430" t="s">
        <v>863</v>
      </c>
      <c r="B445" s="449" t="s">
        <v>864</v>
      </c>
      <c r="C445" s="449" t="s">
        <v>865</v>
      </c>
      <c r="D445" s="432">
        <v>15.279</v>
      </c>
    </row>
    <row r="446" spans="1:4" ht="12.75" customHeight="1">
      <c r="A446" s="212" t="s">
        <v>866</v>
      </c>
      <c r="B446" s="419" t="s">
        <v>1238</v>
      </c>
      <c r="C446" s="419" t="s">
        <v>867</v>
      </c>
      <c r="D446" s="213">
        <v>1.315</v>
      </c>
    </row>
    <row r="447" spans="1:4" ht="12.75" customHeight="1">
      <c r="A447" s="430" t="s">
        <v>868</v>
      </c>
      <c r="B447" s="449" t="s">
        <v>869</v>
      </c>
      <c r="C447" s="449" t="s">
        <v>1238</v>
      </c>
      <c r="D447" s="432">
        <v>10.595</v>
      </c>
    </row>
    <row r="448" spans="1:4" ht="12.75" customHeight="1">
      <c r="A448" s="212" t="s">
        <v>870</v>
      </c>
      <c r="B448" s="419" t="s">
        <v>417</v>
      </c>
      <c r="C448" s="419" t="s">
        <v>871</v>
      </c>
      <c r="D448" s="213">
        <v>10.845</v>
      </c>
    </row>
    <row r="449" spans="1:4" ht="12.75" customHeight="1">
      <c r="A449" s="433" t="s">
        <v>872</v>
      </c>
      <c r="B449" s="447" t="s">
        <v>873</v>
      </c>
      <c r="C449" s="447" t="s">
        <v>1813</v>
      </c>
      <c r="D449" s="435">
        <v>0.61</v>
      </c>
    </row>
    <row r="450" spans="1:4" ht="12.75" customHeight="1">
      <c r="A450" s="210" t="s">
        <v>872</v>
      </c>
      <c r="B450" s="421" t="s">
        <v>1814</v>
      </c>
      <c r="C450" s="421" t="s">
        <v>1815</v>
      </c>
      <c r="D450" s="211">
        <v>0.652</v>
      </c>
    </row>
    <row r="451" spans="1:4" ht="12.75" customHeight="1">
      <c r="A451" s="433" t="s">
        <v>874</v>
      </c>
      <c r="B451" s="447" t="s">
        <v>875</v>
      </c>
      <c r="C451" s="447" t="s">
        <v>876</v>
      </c>
      <c r="D451" s="435">
        <v>14.27</v>
      </c>
    </row>
    <row r="452" spans="1:4" ht="12.75" customHeight="1">
      <c r="A452" s="210" t="s">
        <v>874</v>
      </c>
      <c r="B452" s="421" t="s">
        <v>876</v>
      </c>
      <c r="C452" s="421" t="s">
        <v>646</v>
      </c>
      <c r="D452" s="211">
        <v>5.423</v>
      </c>
    </row>
    <row r="453" spans="1:4" ht="12.75" customHeight="1">
      <c r="A453" s="430" t="s">
        <v>877</v>
      </c>
      <c r="B453" s="449" t="s">
        <v>878</v>
      </c>
      <c r="C453" s="449" t="s">
        <v>879</v>
      </c>
      <c r="D453" s="432">
        <v>1.16</v>
      </c>
    </row>
    <row r="454" spans="1:4" ht="12.75" customHeight="1">
      <c r="A454" s="212" t="s">
        <v>880</v>
      </c>
      <c r="B454" s="419" t="s">
        <v>881</v>
      </c>
      <c r="C454" s="419" t="s">
        <v>1342</v>
      </c>
      <c r="D454" s="213">
        <v>11.36</v>
      </c>
    </row>
    <row r="455" spans="1:4" ht="12.75" customHeight="1">
      <c r="A455" s="430" t="s">
        <v>882</v>
      </c>
      <c r="B455" s="449" t="s">
        <v>1816</v>
      </c>
      <c r="C455" s="449" t="s">
        <v>784</v>
      </c>
      <c r="D455" s="432">
        <v>0.894</v>
      </c>
    </row>
    <row r="456" spans="1:4" ht="12.75" customHeight="1">
      <c r="A456" s="212" t="s">
        <v>883</v>
      </c>
      <c r="B456" s="419" t="s">
        <v>884</v>
      </c>
      <c r="C456" s="419" t="s">
        <v>885</v>
      </c>
      <c r="D456" s="213">
        <v>16.845</v>
      </c>
    </row>
    <row r="457" spans="1:4" ht="12.75" customHeight="1">
      <c r="A457" s="430" t="s">
        <v>886</v>
      </c>
      <c r="B457" s="449" t="s">
        <v>887</v>
      </c>
      <c r="C457" s="449" t="s">
        <v>888</v>
      </c>
      <c r="D457" s="432">
        <v>6.95</v>
      </c>
    </row>
    <row r="458" spans="1:4" ht="12.75" customHeight="1">
      <c r="A458" s="212" t="s">
        <v>889</v>
      </c>
      <c r="B458" s="419" t="s">
        <v>890</v>
      </c>
      <c r="C458" s="419" t="s">
        <v>891</v>
      </c>
      <c r="D458" s="213">
        <v>13.19</v>
      </c>
    </row>
    <row r="459" spans="1:4" ht="12.75" customHeight="1">
      <c r="A459" s="430" t="s">
        <v>892</v>
      </c>
      <c r="B459" s="449" t="s">
        <v>893</v>
      </c>
      <c r="C459" s="449" t="s">
        <v>1251</v>
      </c>
      <c r="D459" s="432">
        <v>14.245</v>
      </c>
    </row>
    <row r="460" spans="1:4" ht="12.75" customHeight="1">
      <c r="A460" s="212" t="s">
        <v>894</v>
      </c>
      <c r="B460" s="419" t="s">
        <v>895</v>
      </c>
      <c r="C460" s="419" t="s">
        <v>896</v>
      </c>
      <c r="D460" s="213">
        <v>5.25</v>
      </c>
    </row>
    <row r="461" spans="1:4" ht="12.75" customHeight="1">
      <c r="A461" s="430" t="s">
        <v>897</v>
      </c>
      <c r="B461" s="449" t="s">
        <v>898</v>
      </c>
      <c r="C461" s="449" t="s">
        <v>418</v>
      </c>
      <c r="D461" s="432">
        <v>11.811</v>
      </c>
    </row>
    <row r="462" spans="1:4" ht="12.75" customHeight="1">
      <c r="A462" s="212" t="s">
        <v>899</v>
      </c>
      <c r="B462" s="419" t="s">
        <v>419</v>
      </c>
      <c r="C462" s="419" t="s">
        <v>1239</v>
      </c>
      <c r="D462" s="213">
        <v>8.182</v>
      </c>
    </row>
    <row r="463" spans="1:4" ht="12.75" customHeight="1">
      <c r="A463" s="430" t="s">
        <v>900</v>
      </c>
      <c r="B463" s="449" t="s">
        <v>901</v>
      </c>
      <c r="C463" s="449" t="s">
        <v>902</v>
      </c>
      <c r="D463" s="432">
        <v>1.375</v>
      </c>
    </row>
    <row r="464" spans="1:4" ht="12.75" customHeight="1">
      <c r="A464" s="212" t="s">
        <v>903</v>
      </c>
      <c r="B464" s="419" t="s">
        <v>904</v>
      </c>
      <c r="C464" s="419" t="s">
        <v>1240</v>
      </c>
      <c r="D464" s="213">
        <v>9.588</v>
      </c>
    </row>
    <row r="465" spans="1:4" ht="12.75" customHeight="1">
      <c r="A465" s="433" t="s">
        <v>905</v>
      </c>
      <c r="B465" s="447" t="s">
        <v>906</v>
      </c>
      <c r="C465" s="447" t="s">
        <v>907</v>
      </c>
      <c r="D465" s="435">
        <v>0.74</v>
      </c>
    </row>
    <row r="466" spans="1:4" ht="12.75" customHeight="1">
      <c r="A466" s="212" t="s">
        <v>908</v>
      </c>
      <c r="B466" s="419" t="s">
        <v>909</v>
      </c>
      <c r="C466" s="419" t="s">
        <v>420</v>
      </c>
      <c r="D466" s="213">
        <v>0.097</v>
      </c>
    </row>
    <row r="467" spans="1:4" ht="12.75" customHeight="1">
      <c r="A467" s="430" t="s">
        <v>910</v>
      </c>
      <c r="B467" s="449" t="s">
        <v>911</v>
      </c>
      <c r="C467" s="449" t="s">
        <v>912</v>
      </c>
      <c r="D467" s="432">
        <v>8.026</v>
      </c>
    </row>
    <row r="468" spans="1:4" ht="12.75" customHeight="1">
      <c r="A468" s="212" t="s">
        <v>913</v>
      </c>
      <c r="B468" s="419" t="s">
        <v>914</v>
      </c>
      <c r="C468" s="419" t="s">
        <v>915</v>
      </c>
      <c r="D468" s="213">
        <v>7.425</v>
      </c>
    </row>
    <row r="469" spans="1:4" ht="12.75" customHeight="1">
      <c r="A469" s="430" t="s">
        <v>916</v>
      </c>
      <c r="B469" s="449" t="s">
        <v>917</v>
      </c>
      <c r="C469" s="449" t="s">
        <v>1699</v>
      </c>
      <c r="D469" s="432">
        <v>16.57</v>
      </c>
    </row>
    <row r="470" spans="1:4" ht="12.75" customHeight="1">
      <c r="A470" s="212" t="s">
        <v>918</v>
      </c>
      <c r="B470" s="419" t="s">
        <v>919</v>
      </c>
      <c r="C470" s="419" t="s">
        <v>1241</v>
      </c>
      <c r="D470" s="213">
        <v>2.037</v>
      </c>
    </row>
    <row r="471" spans="1:4" ht="12.75" customHeight="1">
      <c r="A471" s="430" t="s">
        <v>920</v>
      </c>
      <c r="B471" s="449" t="s">
        <v>921</v>
      </c>
      <c r="C471" s="449" t="s">
        <v>1343</v>
      </c>
      <c r="D471" s="432">
        <v>9.725</v>
      </c>
    </row>
    <row r="472" spans="1:4" ht="12.75" customHeight="1">
      <c r="A472" s="212" t="s">
        <v>922</v>
      </c>
      <c r="B472" s="419" t="s">
        <v>923</v>
      </c>
      <c r="C472" s="419" t="s">
        <v>924</v>
      </c>
      <c r="D472" s="213">
        <v>20.845</v>
      </c>
    </row>
    <row r="473" spans="1:4" ht="12.75" customHeight="1">
      <c r="A473" s="430" t="s">
        <v>925</v>
      </c>
      <c r="B473" s="449" t="s">
        <v>926</v>
      </c>
      <c r="C473" s="449" t="s">
        <v>421</v>
      </c>
      <c r="D473" s="432">
        <v>0.197</v>
      </c>
    </row>
    <row r="474" spans="1:4" ht="12.75" customHeight="1">
      <c r="A474" s="212" t="s">
        <v>927</v>
      </c>
      <c r="B474" s="419" t="s">
        <v>1242</v>
      </c>
      <c r="C474" s="419" t="s">
        <v>928</v>
      </c>
      <c r="D474" s="213">
        <v>2.745</v>
      </c>
    </row>
    <row r="475" spans="1:4" ht="12.75" customHeight="1">
      <c r="A475" s="430" t="s">
        <v>929</v>
      </c>
      <c r="B475" s="449" t="s">
        <v>1243</v>
      </c>
      <c r="C475" s="449" t="s">
        <v>1244</v>
      </c>
      <c r="D475" s="432">
        <v>0.62</v>
      </c>
    </row>
    <row r="476" spans="1:4" ht="12.75" customHeight="1">
      <c r="A476" s="212" t="s">
        <v>930</v>
      </c>
      <c r="B476" s="419" t="s">
        <v>931</v>
      </c>
      <c r="C476" s="419" t="s">
        <v>932</v>
      </c>
      <c r="D476" s="213">
        <v>9.011</v>
      </c>
    </row>
    <row r="477" spans="1:4" ht="12.75" customHeight="1">
      <c r="A477" s="430" t="s">
        <v>933</v>
      </c>
      <c r="B477" s="449" t="s">
        <v>1381</v>
      </c>
      <c r="C477" s="449" t="s">
        <v>1245</v>
      </c>
      <c r="D477" s="432">
        <v>7.83</v>
      </c>
    </row>
    <row r="478" spans="1:4" ht="12.75" customHeight="1">
      <c r="A478" s="212" t="s">
        <v>934</v>
      </c>
      <c r="B478" s="419" t="s">
        <v>935</v>
      </c>
      <c r="C478" s="419" t="s">
        <v>936</v>
      </c>
      <c r="D478" s="213">
        <v>9.85</v>
      </c>
    </row>
    <row r="479" spans="1:4" ht="12.75" customHeight="1">
      <c r="A479" s="430" t="s">
        <v>937</v>
      </c>
      <c r="B479" s="449" t="s">
        <v>1382</v>
      </c>
      <c r="C479" s="449" t="s">
        <v>1386</v>
      </c>
      <c r="D479" s="432">
        <v>1.465</v>
      </c>
    </row>
    <row r="480" spans="1:4" ht="12.75" customHeight="1">
      <c r="A480" s="212" t="s">
        <v>938</v>
      </c>
      <c r="B480" s="419" t="s">
        <v>939</v>
      </c>
      <c r="C480" s="419" t="s">
        <v>940</v>
      </c>
      <c r="D480" s="213">
        <v>6.308</v>
      </c>
    </row>
    <row r="481" spans="1:4" ht="12.75" customHeight="1">
      <c r="A481" s="430" t="s">
        <v>941</v>
      </c>
      <c r="B481" s="449" t="s">
        <v>942</v>
      </c>
      <c r="C481" s="449" t="s">
        <v>1246</v>
      </c>
      <c r="D481" s="432">
        <v>5.413</v>
      </c>
    </row>
    <row r="482" spans="1:4" ht="12.75" customHeight="1">
      <c r="A482" s="212" t="s">
        <v>943</v>
      </c>
      <c r="B482" s="419" t="s">
        <v>944</v>
      </c>
      <c r="C482" s="419" t="s">
        <v>945</v>
      </c>
      <c r="D482" s="213">
        <v>3.512</v>
      </c>
    </row>
    <row r="483" spans="1:4" ht="12.75" customHeight="1">
      <c r="A483" s="430" t="s">
        <v>946</v>
      </c>
      <c r="B483" s="449" t="s">
        <v>947</v>
      </c>
      <c r="C483" s="449" t="s">
        <v>948</v>
      </c>
      <c r="D483" s="432">
        <v>7.882</v>
      </c>
    </row>
    <row r="484" spans="1:4" ht="12.75" customHeight="1">
      <c r="A484" s="212" t="s">
        <v>949</v>
      </c>
      <c r="B484" s="419" t="s">
        <v>950</v>
      </c>
      <c r="C484" s="419" t="s">
        <v>951</v>
      </c>
      <c r="D484" s="213">
        <v>8.29</v>
      </c>
    </row>
    <row r="485" spans="1:4" ht="12.75" customHeight="1">
      <c r="A485" s="430" t="s">
        <v>952</v>
      </c>
      <c r="B485" s="449" t="s">
        <v>1344</v>
      </c>
      <c r="C485" s="449" t="s">
        <v>1345</v>
      </c>
      <c r="D485" s="432">
        <v>1.125</v>
      </c>
    </row>
    <row r="486" spans="1:4" ht="12.75" customHeight="1">
      <c r="A486" s="212" t="s">
        <v>954</v>
      </c>
      <c r="B486" s="419" t="s">
        <v>955</v>
      </c>
      <c r="C486" s="419" t="s">
        <v>956</v>
      </c>
      <c r="D486" s="213">
        <v>7.26</v>
      </c>
    </row>
    <row r="487" spans="1:4" ht="12.75" customHeight="1">
      <c r="A487" s="430" t="s">
        <v>957</v>
      </c>
      <c r="B487" s="449" t="s">
        <v>958</v>
      </c>
      <c r="C487" s="449" t="s">
        <v>959</v>
      </c>
      <c r="D487" s="432">
        <v>3.388</v>
      </c>
    </row>
    <row r="488" spans="1:4" ht="12.75" customHeight="1">
      <c r="A488" s="212" t="s">
        <v>960</v>
      </c>
      <c r="B488" s="419" t="s">
        <v>961</v>
      </c>
      <c r="C488" s="419" t="s">
        <v>953</v>
      </c>
      <c r="D488" s="213">
        <v>0.547</v>
      </c>
    </row>
    <row r="489" spans="1:4" ht="12.75" customHeight="1">
      <c r="A489" s="430" t="s">
        <v>962</v>
      </c>
      <c r="B489" s="449" t="s">
        <v>1247</v>
      </c>
      <c r="C489" s="449" t="s">
        <v>963</v>
      </c>
      <c r="D489" s="432">
        <v>2.575</v>
      </c>
    </row>
    <row r="490" spans="1:4" ht="12.75" customHeight="1">
      <c r="A490" s="212" t="s">
        <v>964</v>
      </c>
      <c r="B490" s="419" t="s">
        <v>965</v>
      </c>
      <c r="C490" s="419" t="s">
        <v>1248</v>
      </c>
      <c r="D490" s="213">
        <v>16.033</v>
      </c>
    </row>
    <row r="491" spans="1:4" ht="12.75" customHeight="1">
      <c r="A491" s="430" t="s">
        <v>966</v>
      </c>
      <c r="B491" s="449" t="s">
        <v>815</v>
      </c>
      <c r="C491" s="449" t="s">
        <v>1249</v>
      </c>
      <c r="D491" s="432">
        <v>2.617</v>
      </c>
    </row>
    <row r="492" spans="1:4" ht="12.75" customHeight="1">
      <c r="A492" s="212" t="s">
        <v>1375</v>
      </c>
      <c r="B492" s="419" t="s">
        <v>1383</v>
      </c>
      <c r="C492" s="419" t="s">
        <v>1387</v>
      </c>
      <c r="D492" s="213">
        <v>0.282</v>
      </c>
    </row>
    <row r="493" spans="1:4" ht="12.75" customHeight="1">
      <c r="A493" s="430" t="s">
        <v>967</v>
      </c>
      <c r="B493" s="449" t="s">
        <v>504</v>
      </c>
      <c r="C493" s="449" t="s">
        <v>968</v>
      </c>
      <c r="D493" s="432">
        <v>0.405</v>
      </c>
    </row>
    <row r="494" spans="1:4" ht="12.75" customHeight="1">
      <c r="A494" s="212" t="s">
        <v>969</v>
      </c>
      <c r="B494" s="419" t="s">
        <v>1333</v>
      </c>
      <c r="C494" s="419" t="s">
        <v>965</v>
      </c>
      <c r="D494" s="213">
        <v>22.984</v>
      </c>
    </row>
    <row r="495" spans="1:4" ht="12.75" customHeight="1">
      <c r="A495" s="430" t="s">
        <v>970</v>
      </c>
      <c r="B495" s="449" t="s">
        <v>971</v>
      </c>
      <c r="C495" s="449" t="s">
        <v>972</v>
      </c>
      <c r="D495" s="432">
        <v>0.841</v>
      </c>
    </row>
    <row r="496" spans="1:4" ht="12.75" customHeight="1">
      <c r="A496" s="212" t="s">
        <v>973</v>
      </c>
      <c r="B496" s="419" t="s">
        <v>974</v>
      </c>
      <c r="C496" s="419" t="s">
        <v>975</v>
      </c>
      <c r="D496" s="213">
        <v>2.047</v>
      </c>
    </row>
    <row r="497" spans="1:4" ht="12.75" customHeight="1">
      <c r="A497" s="430" t="s">
        <v>976</v>
      </c>
      <c r="B497" s="449" t="s">
        <v>977</v>
      </c>
      <c r="C497" s="449" t="s">
        <v>1817</v>
      </c>
      <c r="D497" s="432">
        <v>0.52</v>
      </c>
    </row>
    <row r="498" spans="1:4" ht="12.75" customHeight="1">
      <c r="A498" s="212" t="s">
        <v>978</v>
      </c>
      <c r="B498" s="419" t="s">
        <v>979</v>
      </c>
      <c r="C498" s="419" t="s">
        <v>422</v>
      </c>
      <c r="D498" s="213">
        <v>0.965</v>
      </c>
    </row>
    <row r="499" spans="1:4" ht="12.75" customHeight="1">
      <c r="A499" s="430" t="s">
        <v>980</v>
      </c>
      <c r="B499" s="449" t="s">
        <v>981</v>
      </c>
      <c r="C499" s="449" t="s">
        <v>982</v>
      </c>
      <c r="D499" s="432">
        <v>3.346</v>
      </c>
    </row>
    <row r="500" spans="1:4" ht="12.75" customHeight="1">
      <c r="A500" s="212" t="s">
        <v>983</v>
      </c>
      <c r="B500" s="419" t="s">
        <v>984</v>
      </c>
      <c r="C500" s="419" t="s">
        <v>985</v>
      </c>
      <c r="D500" s="213">
        <v>7.728</v>
      </c>
    </row>
    <row r="501" spans="1:4" ht="12.75" customHeight="1">
      <c r="A501" s="430" t="s">
        <v>986</v>
      </c>
      <c r="B501" s="449" t="s">
        <v>987</v>
      </c>
      <c r="C501" s="449" t="s">
        <v>822</v>
      </c>
      <c r="D501" s="432">
        <v>0.885</v>
      </c>
    </row>
    <row r="502" spans="1:4" ht="12.75" customHeight="1">
      <c r="A502" s="212" t="s">
        <v>988</v>
      </c>
      <c r="B502" s="419" t="s">
        <v>989</v>
      </c>
      <c r="C502" s="419" t="s">
        <v>990</v>
      </c>
      <c r="D502" s="213">
        <v>16.286</v>
      </c>
    </row>
    <row r="503" spans="1:4" ht="12.75" customHeight="1">
      <c r="A503" s="430" t="s">
        <v>991</v>
      </c>
      <c r="B503" s="449" t="s">
        <v>423</v>
      </c>
      <c r="C503" s="449" t="s">
        <v>1250</v>
      </c>
      <c r="D503" s="432">
        <v>41.988</v>
      </c>
    </row>
    <row r="504" spans="1:4" ht="12.75" customHeight="1">
      <c r="A504" s="212" t="s">
        <v>992</v>
      </c>
      <c r="B504" s="419" t="s">
        <v>1346</v>
      </c>
      <c r="C504" s="419" t="s">
        <v>1347</v>
      </c>
      <c r="D504" s="213">
        <v>14.89</v>
      </c>
    </row>
    <row r="505" spans="1:4" ht="12.75" customHeight="1">
      <c r="A505" s="433" t="s">
        <v>993</v>
      </c>
      <c r="B505" s="447" t="s">
        <v>1348</v>
      </c>
      <c r="C505" s="447" t="s">
        <v>1818</v>
      </c>
      <c r="D505" s="435">
        <v>1.507</v>
      </c>
    </row>
    <row r="506" spans="1:4" ht="12.75" customHeight="1">
      <c r="A506" s="210" t="s">
        <v>993</v>
      </c>
      <c r="B506" s="421" t="s">
        <v>1819</v>
      </c>
      <c r="C506" s="421" t="s">
        <v>1349</v>
      </c>
      <c r="D506" s="211">
        <v>2.08</v>
      </c>
    </row>
    <row r="507" spans="1:4" ht="12.75" customHeight="1">
      <c r="A507" s="430" t="s">
        <v>994</v>
      </c>
      <c r="B507" s="449" t="s">
        <v>1350</v>
      </c>
      <c r="C507" s="449" t="s">
        <v>1351</v>
      </c>
      <c r="D507" s="432">
        <v>12.125</v>
      </c>
    </row>
    <row r="508" spans="1:4" ht="12.75" customHeight="1">
      <c r="A508" s="212" t="s">
        <v>995</v>
      </c>
      <c r="B508" s="419" t="s">
        <v>1352</v>
      </c>
      <c r="C508" s="419" t="s">
        <v>1353</v>
      </c>
      <c r="D508" s="213">
        <v>3.33</v>
      </c>
    </row>
    <row r="509" spans="1:4" ht="12.75" customHeight="1">
      <c r="A509" s="430" t="s">
        <v>1253</v>
      </c>
      <c r="B509" s="449" t="s">
        <v>1254</v>
      </c>
      <c r="C509" s="449" t="s">
        <v>1252</v>
      </c>
      <c r="D509" s="432">
        <v>6.94</v>
      </c>
    </row>
    <row r="510" spans="1:4" ht="12.75" customHeight="1">
      <c r="A510" s="212" t="s">
        <v>996</v>
      </c>
      <c r="B510" s="419" t="s">
        <v>1354</v>
      </c>
      <c r="C510" s="419" t="s">
        <v>1255</v>
      </c>
      <c r="D510" s="213">
        <v>2.35</v>
      </c>
    </row>
    <row r="511" spans="1:4" ht="12.75" customHeight="1">
      <c r="A511" s="430" t="s">
        <v>997</v>
      </c>
      <c r="B511" s="449" t="s">
        <v>1256</v>
      </c>
      <c r="C511" s="449" t="s">
        <v>1820</v>
      </c>
      <c r="D511" s="432">
        <v>2.719</v>
      </c>
    </row>
    <row r="512" spans="1:4" ht="12.75" customHeight="1">
      <c r="A512" s="212" t="s">
        <v>998</v>
      </c>
      <c r="B512" s="419" t="s">
        <v>873</v>
      </c>
      <c r="C512" s="419" t="s">
        <v>1700</v>
      </c>
      <c r="D512" s="213">
        <v>13.075</v>
      </c>
    </row>
    <row r="513" spans="1:4" ht="12.75" customHeight="1">
      <c r="A513" s="430" t="s">
        <v>999</v>
      </c>
      <c r="B513" s="449" t="s">
        <v>873</v>
      </c>
      <c r="C513" s="449" t="s">
        <v>1000</v>
      </c>
      <c r="D513" s="432">
        <v>1</v>
      </c>
    </row>
    <row r="514" spans="1:4" ht="12.75" customHeight="1">
      <c r="A514" s="206" t="s">
        <v>484</v>
      </c>
      <c r="B514" s="420" t="s">
        <v>1001</v>
      </c>
      <c r="C514" s="420" t="s">
        <v>1001</v>
      </c>
      <c r="D514" s="207">
        <v>1.77</v>
      </c>
    </row>
    <row r="515" spans="1:4" ht="12.75" customHeight="1">
      <c r="A515" s="424" t="s">
        <v>484</v>
      </c>
      <c r="B515" s="450" t="s">
        <v>1002</v>
      </c>
      <c r="C515" s="450" t="s">
        <v>1002</v>
      </c>
      <c r="D515" s="426">
        <v>0.855</v>
      </c>
    </row>
    <row r="516" spans="1:4" ht="12.75" customHeight="1">
      <c r="A516" s="210" t="s">
        <v>484</v>
      </c>
      <c r="B516" s="421" t="s">
        <v>1003</v>
      </c>
      <c r="C516" s="421" t="s">
        <v>1003</v>
      </c>
      <c r="D516" s="211">
        <v>2.405</v>
      </c>
    </row>
    <row r="517" spans="1:4" ht="12.75" customHeight="1">
      <c r="A517" s="430" t="s">
        <v>1086</v>
      </c>
      <c r="B517" s="449" t="s">
        <v>1087</v>
      </c>
      <c r="C517" s="449" t="s">
        <v>1088</v>
      </c>
      <c r="D517" s="432">
        <v>31.065</v>
      </c>
    </row>
    <row r="518" spans="1:4" ht="12.75" customHeight="1">
      <c r="A518" s="206" t="s">
        <v>1004</v>
      </c>
      <c r="B518" s="420" t="s">
        <v>1257</v>
      </c>
      <c r="C518" s="420" t="s">
        <v>1258</v>
      </c>
      <c r="D518" s="207">
        <v>9.785</v>
      </c>
    </row>
    <row r="519" spans="1:4" ht="12.75" customHeight="1">
      <c r="A519" s="427" t="s">
        <v>1004</v>
      </c>
      <c r="B519" s="448" t="s">
        <v>1259</v>
      </c>
      <c r="C519" s="448" t="s">
        <v>1355</v>
      </c>
      <c r="D519" s="429">
        <v>4.935</v>
      </c>
    </row>
    <row r="520" spans="1:4" ht="15" customHeight="1">
      <c r="A520" s="208"/>
      <c r="B520" s="241"/>
      <c r="C520" s="443" t="s">
        <v>374</v>
      </c>
      <c r="D520" s="446">
        <f>SUM(D370:D519)</f>
        <v>1126.7580000000003</v>
      </c>
    </row>
    <row r="521" spans="1:4" ht="15" customHeight="1">
      <c r="A521" s="208"/>
      <c r="B521" s="241"/>
      <c r="C521" s="241"/>
      <c r="D521" s="209"/>
    </row>
    <row r="522" spans="1:4" ht="15" customHeight="1">
      <c r="A522" s="441" t="s">
        <v>380</v>
      </c>
      <c r="B522" s="445"/>
      <c r="C522" s="214"/>
      <c r="D522" s="215"/>
    </row>
    <row r="523" spans="1:4" ht="12.75" customHeight="1">
      <c r="A523" s="206" t="s">
        <v>157</v>
      </c>
      <c r="B523" s="171" t="s">
        <v>407</v>
      </c>
      <c r="C523" s="171" t="s">
        <v>1006</v>
      </c>
      <c r="D523" s="207">
        <v>38.867</v>
      </c>
    </row>
    <row r="524" spans="1:4" ht="12.75" customHeight="1">
      <c r="A524" s="424" t="s">
        <v>157</v>
      </c>
      <c r="B524" s="425" t="s">
        <v>1906</v>
      </c>
      <c r="C524" s="425" t="s">
        <v>1019</v>
      </c>
      <c r="D524" s="426">
        <v>22.384</v>
      </c>
    </row>
    <row r="525" spans="1:4" ht="12.75" customHeight="1">
      <c r="A525" s="208" t="s">
        <v>157</v>
      </c>
      <c r="B525" s="179" t="s">
        <v>1020</v>
      </c>
      <c r="C525" s="179" t="s">
        <v>1261</v>
      </c>
      <c r="D525" s="209">
        <v>29.937</v>
      </c>
    </row>
    <row r="526" spans="1:4" ht="12.75" customHeight="1">
      <c r="A526" s="427" t="s">
        <v>157</v>
      </c>
      <c r="B526" s="428" t="s">
        <v>1261</v>
      </c>
      <c r="C526" s="428" t="s">
        <v>1021</v>
      </c>
      <c r="D526" s="429">
        <v>12.393</v>
      </c>
    </row>
    <row r="527" spans="1:4" ht="12.75" customHeight="1">
      <c r="A527" s="212" t="s">
        <v>1005</v>
      </c>
      <c r="B527" s="181" t="s">
        <v>1262</v>
      </c>
      <c r="C527" s="181" t="s">
        <v>1006</v>
      </c>
      <c r="D527" s="213">
        <v>1.135</v>
      </c>
    </row>
    <row r="528" spans="1:4" ht="12.75" customHeight="1">
      <c r="A528" s="430" t="s">
        <v>1007</v>
      </c>
      <c r="B528" s="431" t="s">
        <v>1356</v>
      </c>
      <c r="C528" s="431" t="s">
        <v>1357</v>
      </c>
      <c r="D528" s="432">
        <v>2.768</v>
      </c>
    </row>
    <row r="529" spans="1:4" ht="12.75" customHeight="1">
      <c r="A529" s="212" t="s">
        <v>1008</v>
      </c>
      <c r="B529" s="181" t="s">
        <v>1422</v>
      </c>
      <c r="C529" s="181" t="s">
        <v>1423</v>
      </c>
      <c r="D529" s="213">
        <v>0.925</v>
      </c>
    </row>
    <row r="530" spans="1:4" ht="12.75" customHeight="1">
      <c r="A530" s="433" t="s">
        <v>1009</v>
      </c>
      <c r="B530" s="434" t="s">
        <v>435</v>
      </c>
      <c r="C530" s="434" t="s">
        <v>732</v>
      </c>
      <c r="D530" s="435">
        <v>0.754</v>
      </c>
    </row>
    <row r="531" spans="1:4" ht="12.75" customHeight="1">
      <c r="A531" s="208" t="s">
        <v>1009</v>
      </c>
      <c r="B531" s="179" t="s">
        <v>1701</v>
      </c>
      <c r="C531" s="179" t="s">
        <v>1628</v>
      </c>
      <c r="D531" s="209">
        <v>7.48</v>
      </c>
    </row>
    <row r="532" spans="1:4" ht="12.75" customHeight="1">
      <c r="A532" s="424" t="s">
        <v>1009</v>
      </c>
      <c r="B532" s="425" t="s">
        <v>1702</v>
      </c>
      <c r="C532" s="425" t="s">
        <v>424</v>
      </c>
      <c r="D532" s="426">
        <v>80.629</v>
      </c>
    </row>
    <row r="533" spans="1:4" ht="12.75" customHeight="1">
      <c r="A533" s="210" t="s">
        <v>1009</v>
      </c>
      <c r="B533" s="180" t="s">
        <v>1011</v>
      </c>
      <c r="C533" s="180" t="s">
        <v>440</v>
      </c>
      <c r="D533" s="211">
        <v>27.815</v>
      </c>
    </row>
    <row r="534" spans="1:4" ht="12.75" customHeight="1">
      <c r="A534" s="430" t="s">
        <v>1012</v>
      </c>
      <c r="B534" s="431" t="s">
        <v>442</v>
      </c>
      <c r="C534" s="431" t="s">
        <v>443</v>
      </c>
      <c r="D534" s="432">
        <v>25.636</v>
      </c>
    </row>
    <row r="535" spans="1:4" ht="12.75" customHeight="1">
      <c r="A535" s="206" t="s">
        <v>1013</v>
      </c>
      <c r="B535" s="171" t="s">
        <v>441</v>
      </c>
      <c r="C535" s="171" t="s">
        <v>1703</v>
      </c>
      <c r="D535" s="207">
        <v>1.92</v>
      </c>
    </row>
    <row r="536" spans="1:4" ht="12.75" customHeight="1">
      <c r="A536" s="424" t="s">
        <v>1013</v>
      </c>
      <c r="B536" s="425" t="s">
        <v>1014</v>
      </c>
      <c r="C536" s="425" t="s">
        <v>1703</v>
      </c>
      <c r="D536" s="426">
        <v>1.06</v>
      </c>
    </row>
    <row r="537" spans="1:4" ht="12.75" customHeight="1">
      <c r="A537" s="210" t="s">
        <v>1013</v>
      </c>
      <c r="B537" s="180" t="s">
        <v>1703</v>
      </c>
      <c r="C537" s="180" t="s">
        <v>1704</v>
      </c>
      <c r="D537" s="211">
        <v>0.42</v>
      </c>
    </row>
    <row r="538" spans="1:4" ht="12.75" customHeight="1">
      <c r="A538" s="433" t="s">
        <v>1015</v>
      </c>
      <c r="B538" s="434" t="s">
        <v>1014</v>
      </c>
      <c r="C538" s="434" t="s">
        <v>1014</v>
      </c>
      <c r="D538" s="435">
        <v>0.68</v>
      </c>
    </row>
    <row r="539" spans="1:4" ht="12.75" customHeight="1">
      <c r="A539" s="208" t="s">
        <v>1015</v>
      </c>
      <c r="B539" s="179" t="s">
        <v>1014</v>
      </c>
      <c r="C539" s="179" t="s">
        <v>1014</v>
      </c>
      <c r="D539" s="209">
        <v>0.62</v>
      </c>
    </row>
    <row r="540" spans="1:4" ht="12.75" customHeight="1">
      <c r="A540" s="427" t="s">
        <v>1015</v>
      </c>
      <c r="B540" s="428" t="s">
        <v>1014</v>
      </c>
      <c r="C540" s="428" t="s">
        <v>1014</v>
      </c>
      <c r="D540" s="429">
        <v>0.32</v>
      </c>
    </row>
    <row r="541" spans="1:4" ht="12.75" customHeight="1">
      <c r="A541" s="206" t="s">
        <v>1016</v>
      </c>
      <c r="B541" s="171" t="s">
        <v>1705</v>
      </c>
      <c r="C541" s="171" t="s">
        <v>1706</v>
      </c>
      <c r="D541" s="207">
        <v>4.823</v>
      </c>
    </row>
    <row r="542" spans="1:4" ht="12.75" customHeight="1">
      <c r="A542" s="424" t="s">
        <v>1016</v>
      </c>
      <c r="B542" s="425" t="s">
        <v>1707</v>
      </c>
      <c r="C542" s="425" t="s">
        <v>1708</v>
      </c>
      <c r="D542" s="426">
        <v>0.44</v>
      </c>
    </row>
    <row r="543" spans="1:4" ht="12.75" customHeight="1">
      <c r="A543" s="208" t="s">
        <v>1016</v>
      </c>
      <c r="B543" s="179" t="s">
        <v>1442</v>
      </c>
      <c r="C543" s="179" t="s">
        <v>1709</v>
      </c>
      <c r="D543" s="209">
        <v>1.63</v>
      </c>
    </row>
    <row r="544" spans="1:4" ht="12.75" customHeight="1">
      <c r="A544" s="427" t="s">
        <v>1016</v>
      </c>
      <c r="B544" s="428" t="s">
        <v>1424</v>
      </c>
      <c r="C544" s="428" t="s">
        <v>1425</v>
      </c>
      <c r="D544" s="429">
        <v>2.332</v>
      </c>
    </row>
    <row r="545" spans="1:4" ht="12.75" customHeight="1">
      <c r="A545" s="206" t="s">
        <v>339</v>
      </c>
      <c r="B545" s="171" t="s">
        <v>444</v>
      </c>
      <c r="C545" s="171" t="s">
        <v>1017</v>
      </c>
      <c r="D545" s="207">
        <v>18.205</v>
      </c>
    </row>
    <row r="546" spans="1:4" ht="12.75" customHeight="1">
      <c r="A546" s="424" t="s">
        <v>339</v>
      </c>
      <c r="B546" s="425" t="s">
        <v>1017</v>
      </c>
      <c r="C546" s="425" t="s">
        <v>1358</v>
      </c>
      <c r="D546" s="426">
        <v>26.954</v>
      </c>
    </row>
    <row r="547" spans="1:4" ht="12.75" customHeight="1">
      <c r="A547" s="210" t="s">
        <v>339</v>
      </c>
      <c r="B547" s="180" t="s">
        <v>1359</v>
      </c>
      <c r="C547" s="180" t="s">
        <v>1018</v>
      </c>
      <c r="D547" s="211">
        <v>71.728</v>
      </c>
    </row>
    <row r="548" spans="1:4" ht="12.75" customHeight="1">
      <c r="A548" s="433" t="s">
        <v>656</v>
      </c>
      <c r="B548" s="434" t="s">
        <v>1022</v>
      </c>
      <c r="C548" s="434" t="s">
        <v>1023</v>
      </c>
      <c r="D548" s="435">
        <v>4.2</v>
      </c>
    </row>
    <row r="549" spans="1:4" ht="12.75" customHeight="1">
      <c r="A549" s="210" t="s">
        <v>656</v>
      </c>
      <c r="B549" s="180" t="s">
        <v>1023</v>
      </c>
      <c r="C549" s="180" t="s">
        <v>383</v>
      </c>
      <c r="D549" s="211">
        <v>21.346</v>
      </c>
    </row>
    <row r="550" spans="1:4" ht="12.75" customHeight="1">
      <c r="A550" s="430" t="s">
        <v>1027</v>
      </c>
      <c r="B550" s="431" t="s">
        <v>1028</v>
      </c>
      <c r="C550" s="431" t="s">
        <v>1028</v>
      </c>
      <c r="D550" s="432">
        <v>0.425</v>
      </c>
    </row>
    <row r="551" spans="1:4" ht="12.75" customHeight="1">
      <c r="A551" s="212" t="s">
        <v>1029</v>
      </c>
      <c r="B551" s="181" t="s">
        <v>1028</v>
      </c>
      <c r="C551" s="181" t="s">
        <v>1028</v>
      </c>
      <c r="D551" s="213">
        <v>0.425</v>
      </c>
    </row>
    <row r="552" spans="1:4" ht="12.75" customHeight="1">
      <c r="A552" s="433" t="s">
        <v>1024</v>
      </c>
      <c r="B552" s="434" t="s">
        <v>1427</v>
      </c>
      <c r="C552" s="434" t="s">
        <v>1025</v>
      </c>
      <c r="D552" s="435">
        <v>21.9</v>
      </c>
    </row>
    <row r="553" spans="1:4" ht="12.75" customHeight="1">
      <c r="A553" s="210" t="s">
        <v>1024</v>
      </c>
      <c r="B553" s="180" t="s">
        <v>1025</v>
      </c>
      <c r="C553" s="180" t="s">
        <v>1026</v>
      </c>
      <c r="D553" s="211">
        <v>35.955</v>
      </c>
    </row>
    <row r="554" spans="1:4" ht="12.75" customHeight="1">
      <c r="A554" s="433" t="s">
        <v>1197</v>
      </c>
      <c r="B554" s="434" t="s">
        <v>1198</v>
      </c>
      <c r="C554" s="434" t="s">
        <v>1199</v>
      </c>
      <c r="D554" s="435">
        <v>10.501</v>
      </c>
    </row>
    <row r="555" spans="1:4" ht="12.75" customHeight="1">
      <c r="A555" s="210" t="s">
        <v>1197</v>
      </c>
      <c r="B555" s="180" t="s">
        <v>1200</v>
      </c>
      <c r="C555" s="180" t="s">
        <v>1201</v>
      </c>
      <c r="D555" s="211">
        <v>1.896</v>
      </c>
    </row>
    <row r="556" spans="1:4" ht="12.75" customHeight="1">
      <c r="A556" s="430" t="s">
        <v>1403</v>
      </c>
      <c r="B556" s="431" t="s">
        <v>1404</v>
      </c>
      <c r="C556" s="431" t="s">
        <v>1405</v>
      </c>
      <c r="D556" s="432">
        <v>9</v>
      </c>
    </row>
    <row r="557" spans="1:4" ht="12.75" customHeight="1">
      <c r="A557" s="206" t="s">
        <v>1202</v>
      </c>
      <c r="B557" s="171" t="s">
        <v>1203</v>
      </c>
      <c r="C557" s="171" t="s">
        <v>1203</v>
      </c>
      <c r="D557" s="207">
        <v>4.043</v>
      </c>
    </row>
    <row r="558" spans="1:4" ht="12.75" customHeight="1">
      <c r="A558" s="427" t="s">
        <v>1202</v>
      </c>
      <c r="B558" s="428" t="s">
        <v>1204</v>
      </c>
      <c r="C558" s="428" t="s">
        <v>1204</v>
      </c>
      <c r="D558" s="429">
        <v>0.504</v>
      </c>
    </row>
    <row r="559" spans="1:4" ht="12.75" customHeight="1">
      <c r="A559" s="212" t="s">
        <v>1205</v>
      </c>
      <c r="B559" s="181" t="s">
        <v>1439</v>
      </c>
      <c r="C559" s="181" t="s">
        <v>1206</v>
      </c>
      <c r="D559" s="213">
        <v>12.266</v>
      </c>
    </row>
    <row r="560" spans="1:4" ht="12.75" customHeight="1">
      <c r="A560" s="433" t="s">
        <v>1207</v>
      </c>
      <c r="B560" s="434" t="s">
        <v>1440</v>
      </c>
      <c r="C560" s="434" t="s">
        <v>1441</v>
      </c>
      <c r="D560" s="435">
        <v>1.654</v>
      </c>
    </row>
    <row r="561" spans="1:4" ht="12.75" customHeight="1">
      <c r="A561" s="210" t="s">
        <v>1207</v>
      </c>
      <c r="B561" s="180" t="s">
        <v>1442</v>
      </c>
      <c r="C561" s="180" t="s">
        <v>1360</v>
      </c>
      <c r="D561" s="211">
        <v>0.133</v>
      </c>
    </row>
    <row r="562" spans="1:4" ht="12.75" customHeight="1">
      <c r="A562" s="430" t="s">
        <v>1208</v>
      </c>
      <c r="B562" s="431" t="s">
        <v>1209</v>
      </c>
      <c r="C562" s="431" t="s">
        <v>1210</v>
      </c>
      <c r="D562" s="432">
        <v>0.923</v>
      </c>
    </row>
    <row r="563" spans="1:4" ht="12.75" customHeight="1">
      <c r="A563" s="212" t="s">
        <v>1211</v>
      </c>
      <c r="B563" s="181" t="s">
        <v>1212</v>
      </c>
      <c r="C563" s="181" t="s">
        <v>1213</v>
      </c>
      <c r="D563" s="213">
        <v>2.965</v>
      </c>
    </row>
    <row r="564" spans="1:4" ht="12.75" customHeight="1">
      <c r="A564" s="430" t="s">
        <v>1214</v>
      </c>
      <c r="B564" s="431" t="s">
        <v>1215</v>
      </c>
      <c r="C564" s="431" t="s">
        <v>1216</v>
      </c>
      <c r="D564" s="432">
        <v>1.582</v>
      </c>
    </row>
    <row r="565" spans="1:4" ht="12.75" customHeight="1">
      <c r="A565" s="206" t="s">
        <v>1195</v>
      </c>
      <c r="B565" s="171" t="s">
        <v>1585</v>
      </c>
      <c r="C565" s="171" t="s">
        <v>1585</v>
      </c>
      <c r="D565" s="207">
        <v>0.61</v>
      </c>
    </row>
    <row r="566" spans="1:4" ht="12.75" customHeight="1">
      <c r="A566" s="424" t="s">
        <v>1195</v>
      </c>
      <c r="B566" s="425" t="s">
        <v>1426</v>
      </c>
      <c r="C566" s="425" t="s">
        <v>1426</v>
      </c>
      <c r="D566" s="426">
        <v>0.17</v>
      </c>
    </row>
    <row r="567" spans="1:4" ht="12.75" customHeight="1">
      <c r="A567" s="210" t="s">
        <v>1195</v>
      </c>
      <c r="B567" s="180" t="s">
        <v>1427</v>
      </c>
      <c r="C567" s="180" t="s">
        <v>1427</v>
      </c>
      <c r="D567" s="211">
        <v>0.105</v>
      </c>
    </row>
    <row r="568" spans="1:4" ht="12.75" customHeight="1">
      <c r="A568" s="433" t="s">
        <v>1196</v>
      </c>
      <c r="B568" s="434" t="s">
        <v>1585</v>
      </c>
      <c r="C568" s="434" t="s">
        <v>1585</v>
      </c>
      <c r="D568" s="435">
        <v>0.59</v>
      </c>
    </row>
    <row r="569" spans="1:4" ht="12.75" customHeight="1">
      <c r="A569" s="210" t="s">
        <v>1196</v>
      </c>
      <c r="B569" s="180" t="s">
        <v>1426</v>
      </c>
      <c r="C569" s="180" t="s">
        <v>1426</v>
      </c>
      <c r="D569" s="211">
        <v>0.18</v>
      </c>
    </row>
    <row r="570" spans="1:4" ht="12.75" customHeight="1">
      <c r="A570" s="433" t="s">
        <v>340</v>
      </c>
      <c r="B570" s="434" t="s">
        <v>730</v>
      </c>
      <c r="C570" s="434" t="s">
        <v>731</v>
      </c>
      <c r="D570" s="435">
        <v>0.905</v>
      </c>
    </row>
    <row r="571" spans="1:4" ht="12.75" customHeight="1">
      <c r="A571" s="208" t="s">
        <v>340</v>
      </c>
      <c r="B571" s="179" t="s">
        <v>1544</v>
      </c>
      <c r="C571" s="179" t="s">
        <v>1359</v>
      </c>
      <c r="D571" s="209">
        <v>3.754</v>
      </c>
    </row>
    <row r="572" spans="1:4" ht="12.75" customHeight="1">
      <c r="A572" s="424" t="s">
        <v>340</v>
      </c>
      <c r="B572" s="425" t="s">
        <v>1710</v>
      </c>
      <c r="C572" s="425" t="s">
        <v>1711</v>
      </c>
      <c r="D572" s="426">
        <v>1.486</v>
      </c>
    </row>
    <row r="573" spans="1:4" ht="12.75" customHeight="1">
      <c r="A573" s="208" t="s">
        <v>340</v>
      </c>
      <c r="B573" s="179" t="s">
        <v>1428</v>
      </c>
      <c r="C573" s="179" t="s">
        <v>1429</v>
      </c>
      <c r="D573" s="209">
        <v>0.552</v>
      </c>
    </row>
    <row r="574" spans="1:4" ht="12.75" customHeight="1">
      <c r="A574" s="424" t="s">
        <v>340</v>
      </c>
      <c r="B574" s="425" t="s">
        <v>1430</v>
      </c>
      <c r="C574" s="425" t="s">
        <v>1431</v>
      </c>
      <c r="D574" s="426">
        <v>1.116</v>
      </c>
    </row>
    <row r="575" spans="1:4" ht="12.75" customHeight="1">
      <c r="A575" s="208" t="s">
        <v>340</v>
      </c>
      <c r="B575" s="179" t="s">
        <v>1432</v>
      </c>
      <c r="C575" s="179" t="s">
        <v>1433</v>
      </c>
      <c r="D575" s="209">
        <v>0.458</v>
      </c>
    </row>
    <row r="576" spans="1:4" ht="12.75" customHeight="1">
      <c r="A576" s="424" t="s">
        <v>340</v>
      </c>
      <c r="B576" s="425" t="s">
        <v>1434</v>
      </c>
      <c r="C576" s="425" t="s">
        <v>1435</v>
      </c>
      <c r="D576" s="426">
        <v>1.103</v>
      </c>
    </row>
    <row r="577" spans="1:4" ht="12.75" customHeight="1">
      <c r="A577" s="208" t="s">
        <v>340</v>
      </c>
      <c r="B577" s="179" t="s">
        <v>1436</v>
      </c>
      <c r="C577" s="179" t="s">
        <v>1437</v>
      </c>
      <c r="D577" s="209">
        <v>2.508</v>
      </c>
    </row>
    <row r="578" spans="1:4" ht="12.75" customHeight="1">
      <c r="A578" s="424" t="s">
        <v>340</v>
      </c>
      <c r="B578" s="425" t="s">
        <v>1437</v>
      </c>
      <c r="C578" s="425" t="s">
        <v>1438</v>
      </c>
      <c r="D578" s="426">
        <v>0.76</v>
      </c>
    </row>
    <row r="579" spans="1:4" ht="12.75" customHeight="1">
      <c r="A579" s="210" t="s">
        <v>340</v>
      </c>
      <c r="B579" s="180" t="s">
        <v>728</v>
      </c>
      <c r="C579" s="180" t="s">
        <v>729</v>
      </c>
      <c r="D579" s="211">
        <v>0.747</v>
      </c>
    </row>
    <row r="580" spans="1:4" ht="12.75" customHeight="1">
      <c r="A580" s="430" t="s">
        <v>303</v>
      </c>
      <c r="B580" s="431" t="s">
        <v>1712</v>
      </c>
      <c r="C580" s="431" t="s">
        <v>1443</v>
      </c>
      <c r="D580" s="432">
        <v>4.201</v>
      </c>
    </row>
    <row r="581" spans="1:4" ht="12.75" customHeight="1">
      <c r="A581" s="206" t="s">
        <v>1217</v>
      </c>
      <c r="B581" s="171" t="s">
        <v>470</v>
      </c>
      <c r="C581" s="171" t="s">
        <v>164</v>
      </c>
      <c r="D581" s="207">
        <v>54.053</v>
      </c>
    </row>
    <row r="582" spans="1:4" ht="12.75" customHeight="1">
      <c r="A582" s="424" t="s">
        <v>1217</v>
      </c>
      <c r="B582" s="425" t="s">
        <v>1218</v>
      </c>
      <c r="C582" s="425" t="s">
        <v>1219</v>
      </c>
      <c r="D582" s="426">
        <v>2.64</v>
      </c>
    </row>
    <row r="583" spans="1:4" ht="12.75" customHeight="1">
      <c r="A583" s="210" t="s">
        <v>1217</v>
      </c>
      <c r="B583" s="180" t="s">
        <v>1219</v>
      </c>
      <c r="C583" s="180" t="s">
        <v>1220</v>
      </c>
      <c r="D583" s="211">
        <v>18.158</v>
      </c>
    </row>
    <row r="584" spans="1:4" ht="12.75" customHeight="1">
      <c r="A584" s="430" t="s">
        <v>1221</v>
      </c>
      <c r="B584" s="431" t="s">
        <v>1223</v>
      </c>
      <c r="C584" s="431" t="s">
        <v>445</v>
      </c>
      <c r="D584" s="432">
        <v>24.571</v>
      </c>
    </row>
    <row r="585" spans="1:4" ht="12.75" customHeight="1">
      <c r="A585" s="212" t="s">
        <v>1222</v>
      </c>
      <c r="B585" s="181" t="s">
        <v>1361</v>
      </c>
      <c r="C585" s="181" t="s">
        <v>1362</v>
      </c>
      <c r="D585" s="213">
        <v>1.1</v>
      </c>
    </row>
    <row r="586" spans="1:4" ht="12.75" customHeight="1">
      <c r="A586" s="433" t="s">
        <v>699</v>
      </c>
      <c r="B586" s="434" t="s">
        <v>1923</v>
      </c>
      <c r="C586" s="434" t="s">
        <v>1224</v>
      </c>
      <c r="D586" s="435">
        <v>25.745</v>
      </c>
    </row>
    <row r="587" spans="1:4" ht="12.75" customHeight="1">
      <c r="A587" s="208" t="s">
        <v>699</v>
      </c>
      <c r="B587" s="179" t="s">
        <v>1225</v>
      </c>
      <c r="C587" s="179" t="s">
        <v>1363</v>
      </c>
      <c r="D587" s="209">
        <v>22.103</v>
      </c>
    </row>
    <row r="588" spans="1:4" ht="12.75" customHeight="1">
      <c r="A588" s="427" t="s">
        <v>699</v>
      </c>
      <c r="B588" s="428" t="s">
        <v>1545</v>
      </c>
      <c r="C588" s="428" t="s">
        <v>446</v>
      </c>
      <c r="D588" s="429">
        <v>44.927</v>
      </c>
    </row>
    <row r="589" spans="1:4" ht="12.75" customHeight="1">
      <c r="A589" s="206" t="s">
        <v>1445</v>
      </c>
      <c r="B589" s="171" t="s">
        <v>1446</v>
      </c>
      <c r="C589" s="171" t="s">
        <v>1447</v>
      </c>
      <c r="D589" s="207">
        <v>0.09</v>
      </c>
    </row>
    <row r="590" spans="1:4" ht="12.75" customHeight="1">
      <c r="A590" s="424" t="s">
        <v>1445</v>
      </c>
      <c r="B590" s="425" t="s">
        <v>1448</v>
      </c>
      <c r="C590" s="425" t="s">
        <v>1449</v>
      </c>
      <c r="D590" s="426">
        <v>0.174</v>
      </c>
    </row>
    <row r="591" spans="1:4" ht="12.75" customHeight="1">
      <c r="A591" s="208" t="s">
        <v>1445</v>
      </c>
      <c r="B591" s="179" t="s">
        <v>1450</v>
      </c>
      <c r="C591" s="179" t="s">
        <v>1451</v>
      </c>
      <c r="D591" s="209">
        <v>0.27</v>
      </c>
    </row>
    <row r="592" spans="1:4" ht="12.75" customHeight="1">
      <c r="A592" s="424" t="s">
        <v>1445</v>
      </c>
      <c r="B592" s="425" t="s">
        <v>1452</v>
      </c>
      <c r="C592" s="425" t="s">
        <v>1453</v>
      </c>
      <c r="D592" s="426">
        <v>0.104</v>
      </c>
    </row>
    <row r="593" spans="1:4" ht="12.75" customHeight="1">
      <c r="A593" s="208" t="s">
        <v>1445</v>
      </c>
      <c r="B593" s="179" t="s">
        <v>1454</v>
      </c>
      <c r="C593" s="179" t="s">
        <v>1455</v>
      </c>
      <c r="D593" s="209">
        <v>0.25</v>
      </c>
    </row>
    <row r="594" spans="1:4" ht="12.75" customHeight="1">
      <c r="A594" s="427" t="s">
        <v>1445</v>
      </c>
      <c r="B594" s="428" t="s">
        <v>1713</v>
      </c>
      <c r="C594" s="428" t="s">
        <v>1365</v>
      </c>
      <c r="D594" s="429">
        <v>0.895</v>
      </c>
    </row>
    <row r="595" spans="1:4" ht="12.75" customHeight="1">
      <c r="A595" s="212" t="s">
        <v>1546</v>
      </c>
      <c r="B595" s="181" t="s">
        <v>1547</v>
      </c>
      <c r="C595" s="181" t="s">
        <v>1456</v>
      </c>
      <c r="D595" s="213">
        <v>42.456</v>
      </c>
    </row>
    <row r="596" spans="1:4" ht="12.75" customHeight="1">
      <c r="A596" s="430" t="s">
        <v>1548</v>
      </c>
      <c r="B596" s="431" t="s">
        <v>408</v>
      </c>
      <c r="C596" s="431" t="s">
        <v>1457</v>
      </c>
      <c r="D596" s="432">
        <v>3.311</v>
      </c>
    </row>
    <row r="597" spans="1:4" ht="12.75" customHeight="1">
      <c r="A597" s="212" t="s">
        <v>1364</v>
      </c>
      <c r="B597" s="181" t="s">
        <v>829</v>
      </c>
      <c r="C597" s="181" t="s">
        <v>1714</v>
      </c>
      <c r="D597" s="213">
        <v>0.63</v>
      </c>
    </row>
    <row r="598" spans="1:4" ht="12.75" customHeight="1">
      <c r="A598" s="430" t="s">
        <v>1549</v>
      </c>
      <c r="B598" s="431" t="s">
        <v>1550</v>
      </c>
      <c r="C598" s="431" t="s">
        <v>1551</v>
      </c>
      <c r="D598" s="432">
        <v>18.996</v>
      </c>
    </row>
    <row r="599" spans="1:4" ht="12.75" customHeight="1">
      <c r="A599" s="206" t="s">
        <v>1552</v>
      </c>
      <c r="B599" s="171" t="s">
        <v>1553</v>
      </c>
      <c r="C599" s="171" t="s">
        <v>251</v>
      </c>
      <c r="D599" s="207">
        <v>32.008</v>
      </c>
    </row>
    <row r="600" spans="1:4" ht="12.75" customHeight="1">
      <c r="A600" s="427" t="s">
        <v>1552</v>
      </c>
      <c r="B600" s="428" t="s">
        <v>1388</v>
      </c>
      <c r="C600" s="428" t="s">
        <v>1389</v>
      </c>
      <c r="D600" s="429">
        <v>2.026</v>
      </c>
    </row>
    <row r="601" spans="1:4" ht="12.75" customHeight="1">
      <c r="A601" s="212" t="s">
        <v>1554</v>
      </c>
      <c r="B601" s="181" t="s">
        <v>1555</v>
      </c>
      <c r="C601" s="181" t="s">
        <v>448</v>
      </c>
      <c r="D601" s="213">
        <v>0.675</v>
      </c>
    </row>
    <row r="602" spans="1:4" ht="12.75" customHeight="1">
      <c r="A602" s="430" t="s">
        <v>1556</v>
      </c>
      <c r="B602" s="431" t="s">
        <v>1557</v>
      </c>
      <c r="C602" s="431" t="s">
        <v>1557</v>
      </c>
      <c r="D602" s="432">
        <v>0.23</v>
      </c>
    </row>
    <row r="603" spans="1:4" ht="12.75" customHeight="1">
      <c r="A603" s="206" t="s">
        <v>1558</v>
      </c>
      <c r="B603" s="171" t="s">
        <v>1559</v>
      </c>
      <c r="C603" s="171" t="s">
        <v>1559</v>
      </c>
      <c r="D603" s="207">
        <v>0.385</v>
      </c>
    </row>
    <row r="604" spans="1:4" ht="12.75" customHeight="1">
      <c r="A604" s="427" t="s">
        <v>1558</v>
      </c>
      <c r="B604" s="428" t="s">
        <v>447</v>
      </c>
      <c r="C604" s="428" t="s">
        <v>447</v>
      </c>
      <c r="D604" s="429">
        <v>0.23</v>
      </c>
    </row>
    <row r="605" spans="1:4" ht="12.75" customHeight="1">
      <c r="A605" s="212" t="s">
        <v>1560</v>
      </c>
      <c r="B605" s="181" t="s">
        <v>1458</v>
      </c>
      <c r="C605" s="181" t="s">
        <v>1459</v>
      </c>
      <c r="D605" s="213">
        <v>88.965</v>
      </c>
    </row>
    <row r="606" spans="1:4" ht="12.75" customHeight="1">
      <c r="A606" s="430" t="s">
        <v>1390</v>
      </c>
      <c r="B606" s="431" t="s">
        <v>1391</v>
      </c>
      <c r="C606" s="431" t="s">
        <v>1392</v>
      </c>
      <c r="D606" s="432">
        <v>2.34</v>
      </c>
    </row>
    <row r="607" spans="1:4" ht="12.75" customHeight="1">
      <c r="A607" s="212" t="s">
        <v>449</v>
      </c>
      <c r="B607" s="181" t="s">
        <v>1561</v>
      </c>
      <c r="C607" s="181" t="s">
        <v>1562</v>
      </c>
      <c r="D607" s="213">
        <v>27.701</v>
      </c>
    </row>
    <row r="608" spans="1:4" ht="12.75" customHeight="1">
      <c r="A608" s="430" t="s">
        <v>324</v>
      </c>
      <c r="B608" s="431" t="s">
        <v>378</v>
      </c>
      <c r="C608" s="431" t="s">
        <v>1215</v>
      </c>
      <c r="D608" s="432">
        <v>13.954</v>
      </c>
    </row>
    <row r="609" spans="1:4" ht="12.75" customHeight="1">
      <c r="A609" s="206" t="s">
        <v>1393</v>
      </c>
      <c r="B609" s="171" t="s">
        <v>1079</v>
      </c>
      <c r="C609" s="171" t="s">
        <v>1715</v>
      </c>
      <c r="D609" s="207">
        <v>0.366</v>
      </c>
    </row>
    <row r="610" spans="1:4" ht="12.75" customHeight="1">
      <c r="A610" s="424" t="s">
        <v>1393</v>
      </c>
      <c r="B610" s="425" t="s">
        <v>1716</v>
      </c>
      <c r="C610" s="425" t="s">
        <v>1717</v>
      </c>
      <c r="D610" s="426">
        <v>0.557</v>
      </c>
    </row>
    <row r="611" spans="1:4" ht="12.75" customHeight="1">
      <c r="A611" s="208" t="s">
        <v>1393</v>
      </c>
      <c r="B611" s="179" t="s">
        <v>1080</v>
      </c>
      <c r="C611" s="179" t="s">
        <v>1718</v>
      </c>
      <c r="D611" s="209">
        <v>0.95</v>
      </c>
    </row>
    <row r="612" spans="1:4" ht="12.75" customHeight="1">
      <c r="A612" s="427" t="s">
        <v>1393</v>
      </c>
      <c r="B612" s="428" t="s">
        <v>1081</v>
      </c>
      <c r="C612" s="428" t="s">
        <v>1719</v>
      </c>
      <c r="D612" s="429">
        <v>1.716</v>
      </c>
    </row>
    <row r="613" spans="1:4" ht="12.75" customHeight="1">
      <c r="A613" s="212" t="s">
        <v>1563</v>
      </c>
      <c r="B613" s="181" t="s">
        <v>1564</v>
      </c>
      <c r="C613" s="181" t="s">
        <v>585</v>
      </c>
      <c r="D613" s="213">
        <v>14.764</v>
      </c>
    </row>
    <row r="614" spans="1:4" ht="12.75" customHeight="1">
      <c r="A614" s="430" t="s">
        <v>1565</v>
      </c>
      <c r="B614" s="431" t="s">
        <v>1460</v>
      </c>
      <c r="C614" s="431" t="s">
        <v>1566</v>
      </c>
      <c r="D614" s="432">
        <v>11.829</v>
      </c>
    </row>
    <row r="615" spans="1:4" ht="12.75" customHeight="1">
      <c r="A615" s="212" t="s">
        <v>1567</v>
      </c>
      <c r="B615" s="181" t="s">
        <v>1568</v>
      </c>
      <c r="C615" s="181" t="s">
        <v>1569</v>
      </c>
      <c r="D615" s="213">
        <v>18.784</v>
      </c>
    </row>
    <row r="616" spans="1:4" ht="12.75" customHeight="1">
      <c r="A616" s="430" t="s">
        <v>1570</v>
      </c>
      <c r="B616" s="431" t="s">
        <v>1571</v>
      </c>
      <c r="C616" s="431" t="s">
        <v>1572</v>
      </c>
      <c r="D616" s="432">
        <v>0.535</v>
      </c>
    </row>
    <row r="617" spans="1:4" ht="12.75" customHeight="1">
      <c r="A617" s="212" t="s">
        <v>1573</v>
      </c>
      <c r="B617" s="181" t="s">
        <v>1461</v>
      </c>
      <c r="C617" s="181" t="s">
        <v>1574</v>
      </c>
      <c r="D617" s="213">
        <v>14.174</v>
      </c>
    </row>
    <row r="618" spans="1:4" ht="12.75" customHeight="1">
      <c r="A618" s="430" t="s">
        <v>1575</v>
      </c>
      <c r="B618" s="431" t="s">
        <v>1576</v>
      </c>
      <c r="C618" s="431" t="s">
        <v>1577</v>
      </c>
      <c r="D618" s="432">
        <v>8.273</v>
      </c>
    </row>
    <row r="619" spans="1:4" ht="12.75" customHeight="1">
      <c r="A619" s="212" t="s">
        <v>1578</v>
      </c>
      <c r="B619" s="181" t="s">
        <v>1579</v>
      </c>
      <c r="C619" s="181" t="s">
        <v>450</v>
      </c>
      <c r="D619" s="213">
        <v>3.504</v>
      </c>
    </row>
    <row r="620" spans="1:4" ht="12.75" customHeight="1">
      <c r="A620" s="430" t="s">
        <v>1580</v>
      </c>
      <c r="B620" s="431" t="s">
        <v>1581</v>
      </c>
      <c r="C620" s="431" t="s">
        <v>451</v>
      </c>
      <c r="D620" s="432">
        <v>7.56</v>
      </c>
    </row>
    <row r="621" spans="1:4" ht="12.75" customHeight="1">
      <c r="A621" s="212" t="s">
        <v>1582</v>
      </c>
      <c r="B621" s="181" t="s">
        <v>1583</v>
      </c>
      <c r="C621" s="181" t="s">
        <v>454</v>
      </c>
      <c r="D621" s="213">
        <v>2.227</v>
      </c>
    </row>
    <row r="622" spans="1:4" ht="12.75" customHeight="1">
      <c r="A622" s="430" t="s">
        <v>1584</v>
      </c>
      <c r="B622" s="431" t="s">
        <v>330</v>
      </c>
      <c r="C622" s="431" t="s">
        <v>1585</v>
      </c>
      <c r="D622" s="432">
        <v>18.654</v>
      </c>
    </row>
    <row r="623" spans="1:4" ht="12.75" customHeight="1">
      <c r="A623" s="212" t="s">
        <v>1586</v>
      </c>
      <c r="B623" s="181" t="s">
        <v>1587</v>
      </c>
      <c r="C623" s="181" t="s">
        <v>1588</v>
      </c>
      <c r="D623" s="213">
        <v>5.32</v>
      </c>
    </row>
    <row r="624" spans="1:4" ht="12.75" customHeight="1">
      <c r="A624" s="430" t="s">
        <v>1589</v>
      </c>
      <c r="B624" s="431" t="s">
        <v>1017</v>
      </c>
      <c r="C624" s="431" t="s">
        <v>1394</v>
      </c>
      <c r="D624" s="432">
        <v>18.605</v>
      </c>
    </row>
    <row r="625" spans="1:4" ht="12.75" customHeight="1">
      <c r="A625" s="212" t="s">
        <v>1590</v>
      </c>
      <c r="B625" s="181" t="s">
        <v>1591</v>
      </c>
      <c r="C625" s="181" t="s">
        <v>1395</v>
      </c>
      <c r="D625" s="213">
        <v>14.076</v>
      </c>
    </row>
    <row r="626" spans="1:4" ht="12.75" customHeight="1">
      <c r="A626" s="433" t="s">
        <v>1592</v>
      </c>
      <c r="B626" s="434" t="s">
        <v>1720</v>
      </c>
      <c r="C626" s="434" t="s">
        <v>1721</v>
      </c>
      <c r="D626" s="435">
        <v>0.515</v>
      </c>
    </row>
    <row r="627" spans="1:4" ht="12.75" customHeight="1">
      <c r="A627" s="210" t="s">
        <v>1592</v>
      </c>
      <c r="B627" s="180" t="s">
        <v>1722</v>
      </c>
      <c r="C627" s="180" t="s">
        <v>1723</v>
      </c>
      <c r="D627" s="211">
        <v>1.395</v>
      </c>
    </row>
    <row r="628" spans="1:4" ht="12.75" customHeight="1">
      <c r="A628" s="433" t="s">
        <v>1593</v>
      </c>
      <c r="B628" s="434" t="s">
        <v>1594</v>
      </c>
      <c r="C628" s="434" t="s">
        <v>1933</v>
      </c>
      <c r="D628" s="435">
        <v>1.272</v>
      </c>
    </row>
    <row r="629" spans="1:4" ht="12.75" customHeight="1">
      <c r="A629" s="208" t="s">
        <v>1593</v>
      </c>
      <c r="B629" s="179" t="s">
        <v>1933</v>
      </c>
      <c r="C629" s="179" t="s">
        <v>1934</v>
      </c>
      <c r="D629" s="209">
        <v>1.333</v>
      </c>
    </row>
    <row r="630" spans="1:4" ht="12.75" customHeight="1">
      <c r="A630" s="427" t="s">
        <v>1593</v>
      </c>
      <c r="B630" s="428" t="s">
        <v>1595</v>
      </c>
      <c r="C630" s="428" t="s">
        <v>1596</v>
      </c>
      <c r="D630" s="429">
        <v>0.994</v>
      </c>
    </row>
    <row r="631" spans="1:4" ht="12.75" customHeight="1">
      <c r="A631" s="212" t="s">
        <v>1597</v>
      </c>
      <c r="B631" s="181" t="s">
        <v>1396</v>
      </c>
      <c r="C631" s="181" t="s">
        <v>1598</v>
      </c>
      <c r="D631" s="213">
        <v>15.189</v>
      </c>
    </row>
    <row r="632" spans="1:4" ht="12.75" customHeight="1">
      <c r="A632" s="430" t="s">
        <v>1599</v>
      </c>
      <c r="B632" s="431" t="s">
        <v>1397</v>
      </c>
      <c r="C632" s="431" t="s">
        <v>1600</v>
      </c>
      <c r="D632" s="432">
        <v>41.103</v>
      </c>
    </row>
    <row r="633" spans="1:4" ht="12.75" customHeight="1">
      <c r="A633" s="212" t="s">
        <v>1601</v>
      </c>
      <c r="B633" s="181" t="s">
        <v>1602</v>
      </c>
      <c r="C633" s="181" t="s">
        <v>1603</v>
      </c>
      <c r="D633" s="213">
        <v>19.657</v>
      </c>
    </row>
    <row r="634" spans="1:4" ht="12.75" customHeight="1">
      <c r="A634" s="430" t="s">
        <v>1604</v>
      </c>
      <c r="B634" s="431" t="s">
        <v>1605</v>
      </c>
      <c r="C634" s="431" t="s">
        <v>1606</v>
      </c>
      <c r="D634" s="432">
        <v>5.714</v>
      </c>
    </row>
    <row r="635" spans="1:4" ht="12.75" customHeight="1">
      <c r="A635" s="212" t="s">
        <v>1607</v>
      </c>
      <c r="B635" s="181" t="s">
        <v>1608</v>
      </c>
      <c r="C635" s="181" t="s">
        <v>1610</v>
      </c>
      <c r="D635" s="213">
        <v>16.61</v>
      </c>
    </row>
    <row r="636" spans="1:4" ht="12.75" customHeight="1">
      <c r="A636" s="430" t="s">
        <v>1611</v>
      </c>
      <c r="B636" s="431" t="s">
        <v>1612</v>
      </c>
      <c r="C636" s="431" t="s">
        <v>1613</v>
      </c>
      <c r="D636" s="432">
        <v>19.45</v>
      </c>
    </row>
    <row r="637" spans="1:4" ht="12.75" customHeight="1">
      <c r="A637" s="212" t="s">
        <v>1614</v>
      </c>
      <c r="B637" s="181" t="s">
        <v>1398</v>
      </c>
      <c r="C637" s="181" t="s">
        <v>1615</v>
      </c>
      <c r="D637" s="213">
        <v>13.869</v>
      </c>
    </row>
    <row r="638" spans="1:4" ht="12.75" customHeight="1">
      <c r="A638" s="430" t="s">
        <v>1616</v>
      </c>
      <c r="B638" s="431" t="s">
        <v>1617</v>
      </c>
      <c r="C638" s="431" t="s">
        <v>1618</v>
      </c>
      <c r="D638" s="432">
        <v>40.533</v>
      </c>
    </row>
    <row r="639" spans="1:4" ht="12.75" customHeight="1">
      <c r="A639" s="212" t="s">
        <v>1619</v>
      </c>
      <c r="B639" s="181" t="s">
        <v>1544</v>
      </c>
      <c r="C639" s="181" t="s">
        <v>0</v>
      </c>
      <c r="D639" s="213">
        <v>16.148</v>
      </c>
    </row>
    <row r="640" spans="1:4" ht="12.75" customHeight="1">
      <c r="A640" s="430" t="s">
        <v>830</v>
      </c>
      <c r="B640" s="431" t="s">
        <v>1</v>
      </c>
      <c r="C640" s="431" t="s">
        <v>2</v>
      </c>
      <c r="D640" s="432">
        <v>0.705</v>
      </c>
    </row>
    <row r="641" spans="1:4" ht="12.75" customHeight="1">
      <c r="A641" s="212" t="s">
        <v>3</v>
      </c>
      <c r="B641" s="181" t="s">
        <v>4</v>
      </c>
      <c r="C641" s="181" t="s">
        <v>455</v>
      </c>
      <c r="D641" s="213">
        <v>17.15</v>
      </c>
    </row>
    <row r="642" spans="1:4" ht="12.75" customHeight="1">
      <c r="A642" s="430" t="s">
        <v>5</v>
      </c>
      <c r="B642" s="431" t="s">
        <v>1724</v>
      </c>
      <c r="C642" s="431" t="s">
        <v>6</v>
      </c>
      <c r="D642" s="432">
        <v>12.04</v>
      </c>
    </row>
    <row r="643" spans="1:4" ht="12.75" customHeight="1">
      <c r="A643" s="212" t="s">
        <v>7</v>
      </c>
      <c r="B643" s="181" t="s">
        <v>1399</v>
      </c>
      <c r="C643" s="181" t="s">
        <v>1935</v>
      </c>
      <c r="D643" s="213">
        <v>12.286</v>
      </c>
    </row>
    <row r="644" spans="1:4" ht="12.75" customHeight="1">
      <c r="A644" s="430" t="s">
        <v>8</v>
      </c>
      <c r="B644" s="431" t="s">
        <v>9</v>
      </c>
      <c r="C644" s="431" t="s">
        <v>10</v>
      </c>
      <c r="D644" s="432">
        <v>1.945</v>
      </c>
    </row>
    <row r="645" spans="1:4" ht="12.75" customHeight="1">
      <c r="A645" s="212" t="s">
        <v>1472</v>
      </c>
      <c r="B645" s="181" t="s">
        <v>1473</v>
      </c>
      <c r="C645" s="181" t="s">
        <v>1936</v>
      </c>
      <c r="D645" s="213">
        <v>8.118</v>
      </c>
    </row>
    <row r="646" spans="1:4" ht="12.75" customHeight="1">
      <c r="A646" s="430" t="s">
        <v>1474</v>
      </c>
      <c r="B646" s="431" t="s">
        <v>1475</v>
      </c>
      <c r="C646" s="431" t="s">
        <v>1476</v>
      </c>
      <c r="D646" s="432">
        <v>16.284</v>
      </c>
    </row>
    <row r="647" spans="1:4" ht="12.75" customHeight="1">
      <c r="A647" s="206" t="s">
        <v>1477</v>
      </c>
      <c r="B647" s="171" t="s">
        <v>1460</v>
      </c>
      <c r="C647" s="171" t="s">
        <v>1478</v>
      </c>
      <c r="D647" s="207">
        <v>13.948</v>
      </c>
    </row>
    <row r="648" spans="1:4" ht="12.75" customHeight="1">
      <c r="A648" s="427" t="s">
        <v>1477</v>
      </c>
      <c r="B648" s="428" t="s">
        <v>1478</v>
      </c>
      <c r="C648" s="428" t="s">
        <v>1725</v>
      </c>
      <c r="D648" s="429">
        <v>2.217</v>
      </c>
    </row>
    <row r="649" spans="1:4" ht="12.75" customHeight="1">
      <c r="A649" s="212" t="s">
        <v>1479</v>
      </c>
      <c r="B649" s="181" t="s">
        <v>1480</v>
      </c>
      <c r="C649" s="181" t="s">
        <v>1726</v>
      </c>
      <c r="D649" s="213">
        <v>6.95</v>
      </c>
    </row>
    <row r="650" spans="1:4" ht="12.75" customHeight="1">
      <c r="A650" s="430" t="s">
        <v>1481</v>
      </c>
      <c r="B650" s="431" t="s">
        <v>1482</v>
      </c>
      <c r="C650" s="431" t="s">
        <v>1483</v>
      </c>
      <c r="D650" s="432">
        <v>20.185</v>
      </c>
    </row>
    <row r="651" spans="1:4" ht="12.75" customHeight="1">
      <c r="A651" s="212" t="s">
        <v>831</v>
      </c>
      <c r="B651" s="181" t="s">
        <v>1484</v>
      </c>
      <c r="C651" s="181" t="s">
        <v>1485</v>
      </c>
      <c r="D651" s="213">
        <v>1.951</v>
      </c>
    </row>
    <row r="652" spans="1:4" ht="12.75" customHeight="1">
      <c r="A652" s="430" t="s">
        <v>1486</v>
      </c>
      <c r="B652" s="431" t="s">
        <v>1727</v>
      </c>
      <c r="C652" s="431" t="s">
        <v>1487</v>
      </c>
      <c r="D652" s="432">
        <v>11.413</v>
      </c>
    </row>
    <row r="653" spans="1:4" ht="12.75" customHeight="1">
      <c r="A653" s="212" t="s">
        <v>1488</v>
      </c>
      <c r="B653" s="181" t="s">
        <v>1489</v>
      </c>
      <c r="C653" s="181" t="s">
        <v>1490</v>
      </c>
      <c r="D653" s="213">
        <v>20.623</v>
      </c>
    </row>
    <row r="654" spans="1:4" ht="12.75" customHeight="1">
      <c r="A654" s="433" t="s">
        <v>832</v>
      </c>
      <c r="B654" s="434" t="s">
        <v>1462</v>
      </c>
      <c r="C654" s="434" t="s">
        <v>1463</v>
      </c>
      <c r="D654" s="435">
        <v>8.475</v>
      </c>
    </row>
    <row r="655" spans="1:4" ht="12.75" customHeight="1">
      <c r="A655" s="210" t="s">
        <v>832</v>
      </c>
      <c r="B655" s="180" t="s">
        <v>1464</v>
      </c>
      <c r="C655" s="180" t="s">
        <v>1465</v>
      </c>
      <c r="D655" s="211">
        <v>10.596</v>
      </c>
    </row>
    <row r="656" spans="1:4" ht="12.75" customHeight="1">
      <c r="A656" s="430" t="s">
        <v>1466</v>
      </c>
      <c r="B656" s="431" t="s">
        <v>1467</v>
      </c>
      <c r="C656" s="431" t="s">
        <v>1468</v>
      </c>
      <c r="D656" s="432">
        <v>4.06</v>
      </c>
    </row>
    <row r="657" spans="1:4" ht="12.75" customHeight="1">
      <c r="A657" s="212" t="s">
        <v>1469</v>
      </c>
      <c r="B657" s="181" t="s">
        <v>1470</v>
      </c>
      <c r="C657" s="181" t="s">
        <v>1471</v>
      </c>
      <c r="D657" s="213">
        <v>7.44</v>
      </c>
    </row>
    <row r="658" spans="1:4" ht="12.75" customHeight="1">
      <c r="A658" s="430" t="s">
        <v>1491</v>
      </c>
      <c r="B658" s="431" t="s">
        <v>1492</v>
      </c>
      <c r="C658" s="431" t="s">
        <v>1937</v>
      </c>
      <c r="D658" s="432">
        <v>7.9</v>
      </c>
    </row>
    <row r="659" spans="1:4" ht="12.75" customHeight="1">
      <c r="A659" s="206" t="s">
        <v>246</v>
      </c>
      <c r="B659" s="171" t="s">
        <v>1493</v>
      </c>
      <c r="C659" s="171" t="s">
        <v>456</v>
      </c>
      <c r="D659" s="207">
        <v>6.951</v>
      </c>
    </row>
    <row r="660" spans="1:4" ht="12.75" customHeight="1">
      <c r="A660" s="424" t="s">
        <v>246</v>
      </c>
      <c r="B660" s="425" t="s">
        <v>11</v>
      </c>
      <c r="C660" s="425" t="s">
        <v>12</v>
      </c>
      <c r="D660" s="426">
        <v>23.87</v>
      </c>
    </row>
    <row r="661" spans="1:4" ht="12.75" customHeight="1">
      <c r="A661" s="210" t="s">
        <v>246</v>
      </c>
      <c r="B661" s="180" t="s">
        <v>457</v>
      </c>
      <c r="C661" s="180" t="s">
        <v>383</v>
      </c>
      <c r="D661" s="211">
        <v>15.685</v>
      </c>
    </row>
    <row r="662" spans="1:4" ht="12.75" customHeight="1">
      <c r="A662" s="430" t="s">
        <v>13</v>
      </c>
      <c r="B662" s="431" t="s">
        <v>14</v>
      </c>
      <c r="C662" s="431" t="s">
        <v>14</v>
      </c>
      <c r="D662" s="432">
        <v>1.36</v>
      </c>
    </row>
    <row r="663" spans="1:4" ht="12.75" customHeight="1">
      <c r="A663" s="210" t="s">
        <v>15</v>
      </c>
      <c r="B663" s="180" t="s">
        <v>16</v>
      </c>
      <c r="C663" s="180" t="s">
        <v>17</v>
      </c>
      <c r="D663" s="211">
        <v>0.7</v>
      </c>
    </row>
    <row r="664" spans="1:4" ht="15">
      <c r="A664" s="214"/>
      <c r="B664" s="214"/>
      <c r="C664" s="443" t="s">
        <v>381</v>
      </c>
      <c r="D664" s="446">
        <f>SUM(D523:D663)</f>
        <v>1528.3329999999994</v>
      </c>
    </row>
    <row r="665" spans="1:4" ht="15">
      <c r="A665" s="214"/>
      <c r="B665" s="214"/>
      <c r="C665" s="214"/>
      <c r="D665" s="215"/>
    </row>
    <row r="666" spans="1:4" ht="15">
      <c r="A666" s="441" t="s">
        <v>375</v>
      </c>
      <c r="B666" s="445"/>
      <c r="C666" s="214"/>
      <c r="D666" s="215"/>
    </row>
    <row r="667" spans="1:4" ht="12.75" customHeight="1">
      <c r="A667" s="206" t="s">
        <v>339</v>
      </c>
      <c r="B667" s="171" t="s">
        <v>1522</v>
      </c>
      <c r="C667" s="171" t="s">
        <v>1523</v>
      </c>
      <c r="D667" s="207">
        <v>14.581</v>
      </c>
    </row>
    <row r="668" spans="1:4" ht="12.75" customHeight="1">
      <c r="A668" s="427" t="s">
        <v>339</v>
      </c>
      <c r="B668" s="428" t="s">
        <v>1494</v>
      </c>
      <c r="C668" s="428" t="s">
        <v>444</v>
      </c>
      <c r="D668" s="429">
        <v>18.984</v>
      </c>
    </row>
    <row r="669" spans="1:4" ht="12.75" customHeight="1">
      <c r="A669" s="206" t="s">
        <v>340</v>
      </c>
      <c r="B669" s="171" t="s">
        <v>1495</v>
      </c>
      <c r="C669" s="171" t="s">
        <v>1496</v>
      </c>
      <c r="D669" s="207">
        <v>0.765</v>
      </c>
    </row>
    <row r="670" spans="1:4" ht="12.75" customHeight="1">
      <c r="A670" s="427" t="s">
        <v>340</v>
      </c>
      <c r="B670" s="428" t="s">
        <v>1497</v>
      </c>
      <c r="C670" s="428" t="s">
        <v>112</v>
      </c>
      <c r="D670" s="429">
        <v>5.48</v>
      </c>
    </row>
    <row r="671" spans="1:4" ht="12.75" customHeight="1">
      <c r="A671" s="206" t="s">
        <v>18</v>
      </c>
      <c r="B671" s="171" t="s">
        <v>1498</v>
      </c>
      <c r="C671" s="171" t="s">
        <v>20</v>
      </c>
      <c r="D671" s="207">
        <v>0.409</v>
      </c>
    </row>
    <row r="672" spans="1:4" ht="12.75" customHeight="1">
      <c r="A672" s="427" t="s">
        <v>18</v>
      </c>
      <c r="B672" s="428" t="s">
        <v>21</v>
      </c>
      <c r="C672" s="428" t="s">
        <v>19</v>
      </c>
      <c r="D672" s="429">
        <v>0.465</v>
      </c>
    </row>
    <row r="673" spans="1:4" ht="12.75" customHeight="1">
      <c r="A673" s="212" t="s">
        <v>22</v>
      </c>
      <c r="B673" s="181" t="s">
        <v>1728</v>
      </c>
      <c r="C673" s="181" t="s">
        <v>1729</v>
      </c>
      <c r="D673" s="213">
        <v>0.835</v>
      </c>
    </row>
    <row r="674" spans="1:4" ht="12.75" customHeight="1">
      <c r="A674" s="430" t="s">
        <v>24</v>
      </c>
      <c r="B674" s="431" t="s">
        <v>25</v>
      </c>
      <c r="C674" s="431" t="s">
        <v>26</v>
      </c>
      <c r="D674" s="432">
        <v>29.52</v>
      </c>
    </row>
    <row r="675" spans="1:4" ht="12.75" customHeight="1">
      <c r="A675" s="212" t="s">
        <v>27</v>
      </c>
      <c r="B675" s="181" t="s">
        <v>540</v>
      </c>
      <c r="C675" s="181" t="s">
        <v>458</v>
      </c>
      <c r="D675" s="213">
        <v>3.43</v>
      </c>
    </row>
    <row r="676" spans="1:4" ht="12.75" customHeight="1">
      <c r="A676" s="430" t="s">
        <v>28</v>
      </c>
      <c r="B676" s="431" t="s">
        <v>459</v>
      </c>
      <c r="C676" s="431" t="s">
        <v>540</v>
      </c>
      <c r="D676" s="432">
        <v>0.88</v>
      </c>
    </row>
    <row r="677" spans="1:4" ht="12.75" customHeight="1">
      <c r="A677" s="212" t="s">
        <v>1221</v>
      </c>
      <c r="B677" s="181" t="s">
        <v>445</v>
      </c>
      <c r="C677" s="181" t="s">
        <v>1400</v>
      </c>
      <c r="D677" s="213">
        <v>41.464</v>
      </c>
    </row>
    <row r="678" spans="1:4" ht="12.75" customHeight="1">
      <c r="A678" s="433" t="s">
        <v>306</v>
      </c>
      <c r="B678" s="434" t="s">
        <v>31</v>
      </c>
      <c r="C678" s="434" t="s">
        <v>1499</v>
      </c>
      <c r="D678" s="435">
        <v>4.717</v>
      </c>
    </row>
    <row r="679" spans="1:4" ht="12.75" customHeight="1">
      <c r="A679" s="210" t="s">
        <v>306</v>
      </c>
      <c r="B679" s="180" t="s">
        <v>1499</v>
      </c>
      <c r="C679" s="180" t="s">
        <v>1730</v>
      </c>
      <c r="D679" s="211">
        <v>6.127</v>
      </c>
    </row>
    <row r="680" spans="1:4" ht="12.75" customHeight="1">
      <c r="A680" s="430" t="s">
        <v>1731</v>
      </c>
      <c r="B680" s="431" t="s">
        <v>1401</v>
      </c>
      <c r="C680" s="431" t="s">
        <v>1401</v>
      </c>
      <c r="D680" s="432">
        <v>1.037</v>
      </c>
    </row>
    <row r="681" spans="1:4" ht="12.75" customHeight="1">
      <c r="A681" s="206" t="s">
        <v>482</v>
      </c>
      <c r="B681" s="171" t="s">
        <v>1924</v>
      </c>
      <c r="C681" s="171" t="s">
        <v>1925</v>
      </c>
      <c r="D681" s="207">
        <v>6.64</v>
      </c>
    </row>
    <row r="682" spans="1:4" ht="12.75" customHeight="1">
      <c r="A682" s="424" t="s">
        <v>482</v>
      </c>
      <c r="B682" s="425" t="s">
        <v>30</v>
      </c>
      <c r="C682" s="425" t="s">
        <v>1732</v>
      </c>
      <c r="D682" s="426">
        <v>1.626</v>
      </c>
    </row>
    <row r="683" spans="1:4" ht="12.75" customHeight="1">
      <c r="A683" s="210" t="s">
        <v>482</v>
      </c>
      <c r="B683" s="180" t="s">
        <v>1733</v>
      </c>
      <c r="C683" s="180" t="s">
        <v>460</v>
      </c>
      <c r="D683" s="211">
        <v>32.856</v>
      </c>
    </row>
    <row r="684" spans="1:4" ht="12.75" customHeight="1">
      <c r="A684" s="427" t="s">
        <v>1315</v>
      </c>
      <c r="B684" s="428" t="s">
        <v>1926</v>
      </c>
      <c r="C684" s="428" t="s">
        <v>1927</v>
      </c>
      <c r="D684" s="429">
        <v>0.827</v>
      </c>
    </row>
    <row r="685" spans="1:4" ht="12.75" customHeight="1">
      <c r="A685" s="212" t="s">
        <v>1402</v>
      </c>
      <c r="B685" s="181" t="s">
        <v>1406</v>
      </c>
      <c r="C685" s="181" t="s">
        <v>1407</v>
      </c>
      <c r="D685" s="213">
        <v>1.742</v>
      </c>
    </row>
    <row r="686" spans="1:4" ht="12.75" customHeight="1">
      <c r="A686" s="430" t="s">
        <v>33</v>
      </c>
      <c r="B686" s="431" t="s">
        <v>1500</v>
      </c>
      <c r="C686" s="431" t="s">
        <v>34</v>
      </c>
      <c r="D686" s="432">
        <v>7.67</v>
      </c>
    </row>
    <row r="687" spans="1:4" ht="12.75" customHeight="1">
      <c r="A687" s="212" t="s">
        <v>35</v>
      </c>
      <c r="B687" s="181" t="s">
        <v>1609</v>
      </c>
      <c r="C687" s="181" t="s">
        <v>461</v>
      </c>
      <c r="D687" s="213">
        <v>14.29</v>
      </c>
    </row>
    <row r="688" spans="1:4" ht="12.75" customHeight="1">
      <c r="A688" s="433" t="s">
        <v>36</v>
      </c>
      <c r="B688" s="434" t="s">
        <v>1501</v>
      </c>
      <c r="C688" s="434" t="s">
        <v>1734</v>
      </c>
      <c r="D688" s="435">
        <v>4.774</v>
      </c>
    </row>
    <row r="689" spans="1:4" ht="12.75" customHeight="1">
      <c r="A689" s="208" t="s">
        <v>36</v>
      </c>
      <c r="B689" s="179" t="s">
        <v>1734</v>
      </c>
      <c r="C689" s="179" t="s">
        <v>1735</v>
      </c>
      <c r="D689" s="209">
        <v>1.55</v>
      </c>
    </row>
    <row r="690" spans="1:4" ht="12.75" customHeight="1">
      <c r="A690" s="424" t="s">
        <v>36</v>
      </c>
      <c r="B690" s="425" t="s">
        <v>1736</v>
      </c>
      <c r="C690" s="425" t="s">
        <v>1737</v>
      </c>
      <c r="D690" s="426">
        <v>11.942</v>
      </c>
    </row>
    <row r="691" spans="1:4" ht="12.75" customHeight="1">
      <c r="A691" s="208" t="s">
        <v>36</v>
      </c>
      <c r="B691" s="179" t="s">
        <v>1738</v>
      </c>
      <c r="C691" s="179" t="s">
        <v>1739</v>
      </c>
      <c r="D691" s="209">
        <v>2.465</v>
      </c>
    </row>
    <row r="692" spans="1:4" ht="12.75" customHeight="1">
      <c r="A692" s="427" t="s">
        <v>36</v>
      </c>
      <c r="B692" s="428" t="s">
        <v>1739</v>
      </c>
      <c r="C692" s="428" t="s">
        <v>32</v>
      </c>
      <c r="D692" s="429">
        <v>7.003</v>
      </c>
    </row>
    <row r="693" spans="1:4" ht="12.75" customHeight="1">
      <c r="A693" s="206" t="s">
        <v>1740</v>
      </c>
      <c r="B693" s="171" t="s">
        <v>1741</v>
      </c>
      <c r="C693" s="171" t="s">
        <v>1741</v>
      </c>
      <c r="D693" s="207">
        <v>0.57</v>
      </c>
    </row>
    <row r="694" spans="1:4" ht="12.75" customHeight="1">
      <c r="A694" s="424" t="s">
        <v>1821</v>
      </c>
      <c r="B694" s="425" t="s">
        <v>1741</v>
      </c>
      <c r="C694" s="425" t="s">
        <v>1741</v>
      </c>
      <c r="D694" s="426">
        <v>0.789</v>
      </c>
    </row>
    <row r="695" spans="1:4" ht="12.75" customHeight="1">
      <c r="A695" s="210" t="s">
        <v>1740</v>
      </c>
      <c r="B695" s="180" t="s">
        <v>59</v>
      </c>
      <c r="C695" s="180" t="s">
        <v>1742</v>
      </c>
      <c r="D695" s="211">
        <v>0.58</v>
      </c>
    </row>
    <row r="696" spans="1:4" ht="12.75" customHeight="1">
      <c r="A696" s="433" t="s">
        <v>1743</v>
      </c>
      <c r="B696" s="434" t="s">
        <v>1822</v>
      </c>
      <c r="C696" s="434" t="s">
        <v>1741</v>
      </c>
      <c r="D696" s="435">
        <v>0.675</v>
      </c>
    </row>
    <row r="697" spans="1:4" ht="12.75" customHeight="1">
      <c r="A697" s="210" t="s">
        <v>1743</v>
      </c>
      <c r="B697" s="180" t="s">
        <v>1741</v>
      </c>
      <c r="C697" s="180" t="s">
        <v>1741</v>
      </c>
      <c r="D697" s="211">
        <v>0.729</v>
      </c>
    </row>
    <row r="698" spans="1:4" ht="12.75" customHeight="1">
      <c r="A698" s="433" t="s">
        <v>1408</v>
      </c>
      <c r="B698" s="434" t="s">
        <v>1741</v>
      </c>
      <c r="C698" s="434" t="s">
        <v>1744</v>
      </c>
      <c r="D698" s="435">
        <v>7.82</v>
      </c>
    </row>
    <row r="699" spans="1:4" ht="12.75" customHeight="1">
      <c r="A699" s="208" t="s">
        <v>1408</v>
      </c>
      <c r="B699" s="179" t="s">
        <v>1745</v>
      </c>
      <c r="C699" s="179" t="s">
        <v>1078</v>
      </c>
      <c r="D699" s="209">
        <v>4.419</v>
      </c>
    </row>
    <row r="700" spans="1:4" ht="12.75" customHeight="1">
      <c r="A700" s="427" t="s">
        <v>1408</v>
      </c>
      <c r="B700" s="428" t="s">
        <v>1746</v>
      </c>
      <c r="C700" s="428" t="s">
        <v>32</v>
      </c>
      <c r="D700" s="429">
        <v>4.1</v>
      </c>
    </row>
    <row r="701" spans="1:4" ht="12.75" customHeight="1">
      <c r="A701" s="212" t="s">
        <v>38</v>
      </c>
      <c r="B701" s="181" t="s">
        <v>463</v>
      </c>
      <c r="C701" s="181" t="s">
        <v>40</v>
      </c>
      <c r="D701" s="213">
        <v>8.517</v>
      </c>
    </row>
    <row r="702" spans="1:4" ht="12.75" customHeight="1">
      <c r="A702" s="430" t="s">
        <v>41</v>
      </c>
      <c r="B702" s="431" t="s">
        <v>42</v>
      </c>
      <c r="C702" s="431" t="s">
        <v>43</v>
      </c>
      <c r="D702" s="432">
        <v>9</v>
      </c>
    </row>
    <row r="703" spans="1:4" ht="12.75" customHeight="1">
      <c r="A703" s="212" t="s">
        <v>44</v>
      </c>
      <c r="B703" s="181" t="s">
        <v>45</v>
      </c>
      <c r="C703" s="181" t="s">
        <v>46</v>
      </c>
      <c r="D703" s="213">
        <v>2.585</v>
      </c>
    </row>
    <row r="704" spans="1:4" ht="12.75" customHeight="1">
      <c r="A704" s="430" t="s">
        <v>47</v>
      </c>
      <c r="B704" s="431" t="s">
        <v>1409</v>
      </c>
      <c r="C704" s="431" t="s">
        <v>540</v>
      </c>
      <c r="D704" s="432">
        <v>4.087</v>
      </c>
    </row>
    <row r="705" spans="1:4" ht="12.75" customHeight="1">
      <c r="A705" s="212" t="s">
        <v>48</v>
      </c>
      <c r="B705" s="181" t="s">
        <v>1747</v>
      </c>
      <c r="C705" s="181" t="s">
        <v>49</v>
      </c>
      <c r="D705" s="213">
        <v>14.768</v>
      </c>
    </row>
    <row r="706" spans="1:4" ht="12.75" customHeight="1">
      <c r="A706" s="430" t="s">
        <v>50</v>
      </c>
      <c r="B706" s="431" t="s">
        <v>51</v>
      </c>
      <c r="C706" s="431" t="s">
        <v>52</v>
      </c>
      <c r="D706" s="432">
        <v>5.84</v>
      </c>
    </row>
    <row r="707" spans="1:4" ht="12.75" customHeight="1">
      <c r="A707" s="212" t="s">
        <v>53</v>
      </c>
      <c r="B707" s="181" t="s">
        <v>54</v>
      </c>
      <c r="C707" s="181" t="s">
        <v>464</v>
      </c>
      <c r="D707" s="213">
        <v>11.827</v>
      </c>
    </row>
    <row r="708" spans="1:4" ht="12.75" customHeight="1">
      <c r="A708" s="430" t="s">
        <v>55</v>
      </c>
      <c r="B708" s="431" t="s">
        <v>56</v>
      </c>
      <c r="C708" s="431" t="s">
        <v>57</v>
      </c>
      <c r="D708" s="432">
        <v>8.24</v>
      </c>
    </row>
    <row r="709" spans="1:4" ht="12.75" customHeight="1">
      <c r="A709" s="212" t="s">
        <v>58</v>
      </c>
      <c r="B709" s="181" t="s">
        <v>59</v>
      </c>
      <c r="C709" s="181" t="s">
        <v>1946</v>
      </c>
      <c r="D709" s="213">
        <v>8.53</v>
      </c>
    </row>
    <row r="710" spans="1:4" ht="12.75" customHeight="1">
      <c r="A710" s="430" t="s">
        <v>60</v>
      </c>
      <c r="B710" s="431" t="s">
        <v>61</v>
      </c>
      <c r="C710" s="431" t="s">
        <v>465</v>
      </c>
      <c r="D710" s="432">
        <v>1.7</v>
      </c>
    </row>
    <row r="711" spans="1:4" ht="12.75" customHeight="1">
      <c r="A711" s="206" t="s">
        <v>62</v>
      </c>
      <c r="B711" s="171" t="s">
        <v>466</v>
      </c>
      <c r="C711" s="171" t="s">
        <v>63</v>
      </c>
      <c r="D711" s="207">
        <v>3.4</v>
      </c>
    </row>
    <row r="712" spans="1:4" ht="12.75" customHeight="1">
      <c r="A712" s="427" t="s">
        <v>62</v>
      </c>
      <c r="B712" s="428" t="s">
        <v>63</v>
      </c>
      <c r="C712" s="428" t="s">
        <v>64</v>
      </c>
      <c r="D712" s="429">
        <v>8.48</v>
      </c>
    </row>
    <row r="713" spans="1:4" ht="12.75" customHeight="1">
      <c r="A713" s="206" t="s">
        <v>65</v>
      </c>
      <c r="B713" s="171" t="s">
        <v>1748</v>
      </c>
      <c r="C713" s="171" t="s">
        <v>66</v>
      </c>
      <c r="D713" s="207">
        <v>2.18</v>
      </c>
    </row>
    <row r="714" spans="1:4" ht="12.75" customHeight="1">
      <c r="A714" s="427" t="s">
        <v>65</v>
      </c>
      <c r="B714" s="428" t="s">
        <v>66</v>
      </c>
      <c r="C714" s="428" t="s">
        <v>67</v>
      </c>
      <c r="D714" s="429">
        <v>0.784</v>
      </c>
    </row>
    <row r="715" spans="1:4" ht="12.75" customHeight="1">
      <c r="A715" s="206" t="s">
        <v>68</v>
      </c>
      <c r="B715" s="171" t="s">
        <v>1749</v>
      </c>
      <c r="C715" s="171" t="s">
        <v>136</v>
      </c>
      <c r="D715" s="207">
        <v>0.298</v>
      </c>
    </row>
    <row r="716" spans="1:4" ht="12.75" customHeight="1">
      <c r="A716" s="427" t="s">
        <v>68</v>
      </c>
      <c r="B716" s="428" t="s">
        <v>69</v>
      </c>
      <c r="C716" s="428" t="s">
        <v>70</v>
      </c>
      <c r="D716" s="429">
        <v>0.63</v>
      </c>
    </row>
    <row r="717" spans="1:4" ht="12.75" customHeight="1">
      <c r="A717" s="212" t="s">
        <v>72</v>
      </c>
      <c r="B717" s="181" t="s">
        <v>73</v>
      </c>
      <c r="C717" s="181" t="s">
        <v>74</v>
      </c>
      <c r="D717" s="213">
        <v>20.562</v>
      </c>
    </row>
    <row r="718" spans="1:4" ht="12.75" customHeight="1">
      <c r="A718" s="430" t="s">
        <v>76</v>
      </c>
      <c r="B718" s="431" t="s">
        <v>1502</v>
      </c>
      <c r="C718" s="431" t="s">
        <v>75</v>
      </c>
      <c r="D718" s="432">
        <v>5.589</v>
      </c>
    </row>
    <row r="719" spans="1:4" ht="12.75" customHeight="1">
      <c r="A719" s="212" t="s">
        <v>77</v>
      </c>
      <c r="B719" s="181" t="s">
        <v>78</v>
      </c>
      <c r="C719" s="181" t="s">
        <v>71</v>
      </c>
      <c r="D719" s="213">
        <v>3.3</v>
      </c>
    </row>
    <row r="720" spans="1:4" ht="12.75" customHeight="1">
      <c r="A720" s="430" t="s">
        <v>79</v>
      </c>
      <c r="B720" s="431" t="s">
        <v>80</v>
      </c>
      <c r="C720" s="431" t="s">
        <v>81</v>
      </c>
      <c r="D720" s="432">
        <v>16.13</v>
      </c>
    </row>
    <row r="721" spans="1:4" ht="12.75" customHeight="1">
      <c r="A721" s="212" t="s">
        <v>82</v>
      </c>
      <c r="B721" s="181" t="s">
        <v>83</v>
      </c>
      <c r="C721" s="181" t="s">
        <v>84</v>
      </c>
      <c r="D721" s="213">
        <v>5.05</v>
      </c>
    </row>
    <row r="722" spans="1:4" ht="12.75" customHeight="1">
      <c r="A722" s="430" t="s">
        <v>85</v>
      </c>
      <c r="B722" s="431" t="s">
        <v>86</v>
      </c>
      <c r="C722" s="431" t="s">
        <v>87</v>
      </c>
      <c r="D722" s="432">
        <v>1.343</v>
      </c>
    </row>
    <row r="723" spans="1:4" ht="12.75" customHeight="1">
      <c r="A723" s="206" t="s">
        <v>88</v>
      </c>
      <c r="B723" s="171" t="s">
        <v>89</v>
      </c>
      <c r="C723" s="171" t="s">
        <v>90</v>
      </c>
      <c r="D723" s="207">
        <v>3.74</v>
      </c>
    </row>
    <row r="724" spans="1:4" ht="12.75" customHeight="1">
      <c r="A724" s="427" t="s">
        <v>88</v>
      </c>
      <c r="B724" s="428" t="s">
        <v>91</v>
      </c>
      <c r="C724" s="428" t="s">
        <v>92</v>
      </c>
      <c r="D724" s="429">
        <v>4.495</v>
      </c>
    </row>
    <row r="725" spans="1:4" ht="12.75" customHeight="1">
      <c r="A725" s="212" t="s">
        <v>93</v>
      </c>
      <c r="B725" s="181" t="s">
        <v>94</v>
      </c>
      <c r="C725" s="181" t="s">
        <v>95</v>
      </c>
      <c r="D725" s="213">
        <v>7.82</v>
      </c>
    </row>
    <row r="726" spans="1:4" ht="12.75" customHeight="1">
      <c r="A726" s="430" t="s">
        <v>96</v>
      </c>
      <c r="B726" s="431" t="s">
        <v>467</v>
      </c>
      <c r="C726" s="431" t="s">
        <v>97</v>
      </c>
      <c r="D726" s="432">
        <v>36.4</v>
      </c>
    </row>
    <row r="727" spans="1:4" ht="12.75" customHeight="1">
      <c r="A727" s="212" t="s">
        <v>833</v>
      </c>
      <c r="B727" s="181" t="s">
        <v>98</v>
      </c>
      <c r="C727" s="181" t="s">
        <v>99</v>
      </c>
      <c r="D727" s="213">
        <v>3.248</v>
      </c>
    </row>
    <row r="728" spans="1:4" ht="12.75" customHeight="1">
      <c r="A728" s="430" t="s">
        <v>100</v>
      </c>
      <c r="B728" s="431" t="s">
        <v>1503</v>
      </c>
      <c r="C728" s="431" t="s">
        <v>101</v>
      </c>
      <c r="D728" s="432">
        <v>14.3</v>
      </c>
    </row>
    <row r="729" spans="1:4" ht="12.75" customHeight="1">
      <c r="A729" s="212" t="s">
        <v>102</v>
      </c>
      <c r="B729" s="181" t="s">
        <v>103</v>
      </c>
      <c r="C729" s="181" t="s">
        <v>104</v>
      </c>
      <c r="D729" s="213">
        <v>12.37</v>
      </c>
    </row>
    <row r="730" spans="1:4" ht="12.75" customHeight="1">
      <c r="A730" s="430" t="s">
        <v>105</v>
      </c>
      <c r="B730" s="431" t="s">
        <v>106</v>
      </c>
      <c r="C730" s="431" t="s">
        <v>468</v>
      </c>
      <c r="D730" s="432">
        <v>3</v>
      </c>
    </row>
    <row r="731" spans="1:4" ht="12.75" customHeight="1">
      <c r="A731" s="206" t="s">
        <v>107</v>
      </c>
      <c r="B731" s="171" t="s">
        <v>108</v>
      </c>
      <c r="C731" s="171" t="s">
        <v>1504</v>
      </c>
      <c r="D731" s="207">
        <v>0.98</v>
      </c>
    </row>
    <row r="732" spans="1:4" ht="12.75" customHeight="1">
      <c r="A732" s="424" t="s">
        <v>107</v>
      </c>
      <c r="B732" s="425" t="s">
        <v>1948</v>
      </c>
      <c r="C732" s="425" t="s">
        <v>1410</v>
      </c>
      <c r="D732" s="426">
        <v>2.185</v>
      </c>
    </row>
    <row r="733" spans="1:4" ht="12.75" customHeight="1">
      <c r="A733" s="210" t="s">
        <v>107</v>
      </c>
      <c r="B733" s="180" t="s">
        <v>109</v>
      </c>
      <c r="C733" s="180" t="s">
        <v>110</v>
      </c>
      <c r="D733" s="211">
        <v>0.6</v>
      </c>
    </row>
    <row r="734" spans="1:4" ht="12.75" customHeight="1">
      <c r="A734" s="430" t="s">
        <v>111</v>
      </c>
      <c r="B734" s="431" t="s">
        <v>1411</v>
      </c>
      <c r="C734" s="431" t="s">
        <v>112</v>
      </c>
      <c r="D734" s="432">
        <v>0.273</v>
      </c>
    </row>
    <row r="735" spans="1:4" ht="12.75" customHeight="1">
      <c r="A735" s="212" t="s">
        <v>113</v>
      </c>
      <c r="B735" s="181" t="s">
        <v>37</v>
      </c>
      <c r="C735" s="181" t="s">
        <v>114</v>
      </c>
      <c r="D735" s="213">
        <v>5.19</v>
      </c>
    </row>
    <row r="736" spans="1:4" ht="12.75" customHeight="1">
      <c r="A736" s="430" t="s">
        <v>115</v>
      </c>
      <c r="B736" s="431" t="s">
        <v>23</v>
      </c>
      <c r="C736" s="431" t="s">
        <v>116</v>
      </c>
      <c r="D736" s="432">
        <v>0.82</v>
      </c>
    </row>
    <row r="737" spans="1:4" ht="12.75" customHeight="1">
      <c r="A737" s="212" t="s">
        <v>117</v>
      </c>
      <c r="B737" s="181" t="s">
        <v>118</v>
      </c>
      <c r="C737" s="181" t="s">
        <v>119</v>
      </c>
      <c r="D737" s="213">
        <v>10.975</v>
      </c>
    </row>
    <row r="738" spans="1:4" ht="12.75" customHeight="1">
      <c r="A738" s="430" t="s">
        <v>122</v>
      </c>
      <c r="B738" s="431" t="s">
        <v>123</v>
      </c>
      <c r="C738" s="431" t="s">
        <v>1505</v>
      </c>
      <c r="D738" s="432">
        <v>1.325</v>
      </c>
    </row>
    <row r="739" spans="1:4" ht="12.75" customHeight="1">
      <c r="A739" s="212" t="s">
        <v>124</v>
      </c>
      <c r="B739" s="181" t="s">
        <v>123</v>
      </c>
      <c r="C739" s="181" t="s">
        <v>125</v>
      </c>
      <c r="D739" s="213">
        <v>4.87</v>
      </c>
    </row>
    <row r="740" spans="1:4" ht="12.75" customHeight="1">
      <c r="A740" s="430" t="s">
        <v>126</v>
      </c>
      <c r="B740" s="431" t="s">
        <v>127</v>
      </c>
      <c r="C740" s="431" t="s">
        <v>128</v>
      </c>
      <c r="D740" s="432">
        <v>8.615</v>
      </c>
    </row>
    <row r="741" spans="1:4" ht="12.75" customHeight="1">
      <c r="A741" s="212" t="s">
        <v>834</v>
      </c>
      <c r="B741" s="181" t="s">
        <v>129</v>
      </c>
      <c r="C741" s="181" t="s">
        <v>57</v>
      </c>
      <c r="D741" s="213">
        <v>10.54</v>
      </c>
    </row>
    <row r="742" spans="1:4" ht="12.75" customHeight="1">
      <c r="A742" s="430" t="s">
        <v>130</v>
      </c>
      <c r="B742" s="431" t="s">
        <v>131</v>
      </c>
      <c r="C742" s="431" t="s">
        <v>444</v>
      </c>
      <c r="D742" s="432">
        <v>1.545</v>
      </c>
    </row>
    <row r="743" spans="1:4" ht="12.75" customHeight="1">
      <c r="A743" s="212" t="s">
        <v>1515</v>
      </c>
      <c r="B743" s="181" t="s">
        <v>1516</v>
      </c>
      <c r="C743" s="181" t="s">
        <v>1517</v>
      </c>
      <c r="D743" s="213">
        <v>0.36</v>
      </c>
    </row>
    <row r="744" spans="1:4" ht="12.75" customHeight="1">
      <c r="A744" s="433" t="s">
        <v>216</v>
      </c>
      <c r="B744" s="434" t="s">
        <v>217</v>
      </c>
      <c r="C744" s="434" t="s">
        <v>1750</v>
      </c>
      <c r="D744" s="435">
        <v>16.165</v>
      </c>
    </row>
    <row r="745" spans="1:4" ht="12.75" customHeight="1">
      <c r="A745" s="210" t="s">
        <v>216</v>
      </c>
      <c r="B745" s="180" t="s">
        <v>1751</v>
      </c>
      <c r="C745" s="180" t="s">
        <v>34</v>
      </c>
      <c r="D745" s="211">
        <v>0.81</v>
      </c>
    </row>
    <row r="746" spans="1:4" ht="12.75" customHeight="1">
      <c r="A746" s="430" t="s">
        <v>132</v>
      </c>
      <c r="B746" s="431" t="s">
        <v>133</v>
      </c>
      <c r="C746" s="431" t="s">
        <v>134</v>
      </c>
      <c r="D746" s="432">
        <v>9.695</v>
      </c>
    </row>
    <row r="747" spans="1:4" ht="12.75" customHeight="1">
      <c r="A747" s="212" t="s">
        <v>135</v>
      </c>
      <c r="B747" s="181" t="s">
        <v>136</v>
      </c>
      <c r="C747" s="181" t="s">
        <v>137</v>
      </c>
      <c r="D747" s="213">
        <v>6.48</v>
      </c>
    </row>
    <row r="748" spans="1:4" ht="12.75" customHeight="1">
      <c r="A748" s="430" t="s">
        <v>220</v>
      </c>
      <c r="B748" s="431" t="s">
        <v>469</v>
      </c>
      <c r="C748" s="431" t="s">
        <v>138</v>
      </c>
      <c r="D748" s="432">
        <v>5.646</v>
      </c>
    </row>
    <row r="749" spans="1:4" ht="12.75" customHeight="1">
      <c r="A749" s="212" t="s">
        <v>1412</v>
      </c>
      <c r="B749" s="181" t="s">
        <v>139</v>
      </c>
      <c r="C749" s="181" t="s">
        <v>140</v>
      </c>
      <c r="D749" s="213">
        <v>3.63</v>
      </c>
    </row>
    <row r="750" spans="1:4" ht="12.75" customHeight="1">
      <c r="A750" s="430" t="s">
        <v>141</v>
      </c>
      <c r="B750" s="431" t="s">
        <v>1518</v>
      </c>
      <c r="C750" s="431" t="s">
        <v>1949</v>
      </c>
      <c r="D750" s="432">
        <v>7.135</v>
      </c>
    </row>
    <row r="751" spans="1:4" ht="12.75" customHeight="1">
      <c r="A751" s="212" t="s">
        <v>142</v>
      </c>
      <c r="B751" s="181" t="s">
        <v>143</v>
      </c>
      <c r="C751" s="181" t="s">
        <v>144</v>
      </c>
      <c r="D751" s="213">
        <v>3.21</v>
      </c>
    </row>
    <row r="752" spans="1:4" ht="12.75" customHeight="1">
      <c r="A752" s="430" t="s">
        <v>145</v>
      </c>
      <c r="B752" s="431" t="s">
        <v>1519</v>
      </c>
      <c r="C752" s="431" t="s">
        <v>143</v>
      </c>
      <c r="D752" s="432">
        <v>1.12</v>
      </c>
    </row>
    <row r="753" spans="1:4" ht="12.75" customHeight="1">
      <c r="A753" s="212" t="s">
        <v>146</v>
      </c>
      <c r="B753" s="181" t="s">
        <v>147</v>
      </c>
      <c r="C753" s="181" t="s">
        <v>1520</v>
      </c>
      <c r="D753" s="213">
        <v>21.695</v>
      </c>
    </row>
    <row r="754" spans="1:4" ht="12.75" customHeight="1">
      <c r="A754" s="430" t="s">
        <v>148</v>
      </c>
      <c r="B754" s="431" t="s">
        <v>149</v>
      </c>
      <c r="C754" s="431" t="s">
        <v>150</v>
      </c>
      <c r="D754" s="432">
        <v>3.72</v>
      </c>
    </row>
    <row r="755" spans="1:4" ht="12.75" customHeight="1">
      <c r="A755" s="212" t="s">
        <v>151</v>
      </c>
      <c r="B755" s="181" t="s">
        <v>152</v>
      </c>
      <c r="C755" s="181" t="s">
        <v>153</v>
      </c>
      <c r="D755" s="213">
        <v>25.97</v>
      </c>
    </row>
    <row r="756" spans="1:4" ht="12.75" customHeight="1">
      <c r="A756" s="430" t="s">
        <v>154</v>
      </c>
      <c r="B756" s="431" t="s">
        <v>1521</v>
      </c>
      <c r="C756" s="431" t="s">
        <v>155</v>
      </c>
      <c r="D756" s="432">
        <v>9.515</v>
      </c>
    </row>
    <row r="757" spans="1:4" ht="15">
      <c r="A757" s="214"/>
      <c r="B757" s="214"/>
      <c r="C757" s="443" t="s">
        <v>1752</v>
      </c>
      <c r="D757" s="446">
        <f>SUM(D667:D756)</f>
        <v>633.043</v>
      </c>
    </row>
    <row r="758" spans="1:4" ht="15">
      <c r="A758" s="214"/>
      <c r="B758" s="214"/>
      <c r="C758" s="214"/>
      <c r="D758" s="215"/>
    </row>
    <row r="759" spans="1:4" ht="15">
      <c r="A759" s="441" t="s">
        <v>1631</v>
      </c>
      <c r="B759" s="445"/>
      <c r="C759" s="214"/>
      <c r="D759" s="215"/>
    </row>
    <row r="760" spans="1:4" ht="12.75" customHeight="1">
      <c r="A760" s="212" t="s">
        <v>156</v>
      </c>
      <c r="B760" s="181" t="s">
        <v>1413</v>
      </c>
      <c r="C760" s="181" t="s">
        <v>1753</v>
      </c>
      <c r="D760" s="213">
        <v>5.01</v>
      </c>
    </row>
    <row r="761" spans="1:4" ht="12.75" customHeight="1">
      <c r="A761" s="430" t="s">
        <v>157</v>
      </c>
      <c r="B761" s="431" t="s">
        <v>158</v>
      </c>
      <c r="C761" s="431" t="s">
        <v>407</v>
      </c>
      <c r="D761" s="432">
        <v>93.462</v>
      </c>
    </row>
    <row r="762" spans="1:4" ht="12.75" customHeight="1">
      <c r="A762" s="212" t="s">
        <v>159</v>
      </c>
      <c r="B762" s="181" t="s">
        <v>160</v>
      </c>
      <c r="C762" s="181" t="s">
        <v>161</v>
      </c>
      <c r="D762" s="213">
        <v>10.639</v>
      </c>
    </row>
    <row r="763" spans="1:4" ht="12.75" customHeight="1">
      <c r="A763" s="430" t="s">
        <v>162</v>
      </c>
      <c r="B763" s="431" t="s">
        <v>1524</v>
      </c>
      <c r="C763" s="431" t="s">
        <v>1525</v>
      </c>
      <c r="D763" s="432">
        <v>17.861</v>
      </c>
    </row>
    <row r="764" spans="1:4" ht="12.75" customHeight="1">
      <c r="A764" s="206" t="s">
        <v>1414</v>
      </c>
      <c r="B764" s="171" t="s">
        <v>1802</v>
      </c>
      <c r="C764" s="171" t="s">
        <v>1415</v>
      </c>
      <c r="D764" s="207">
        <v>1</v>
      </c>
    </row>
    <row r="765" spans="1:4" ht="12.75" customHeight="1">
      <c r="A765" s="424" t="s">
        <v>1414</v>
      </c>
      <c r="B765" s="425" t="s">
        <v>1415</v>
      </c>
      <c r="C765" s="425" t="s">
        <v>1416</v>
      </c>
      <c r="D765" s="426">
        <v>0.7</v>
      </c>
    </row>
    <row r="766" spans="1:4" ht="12.75" customHeight="1">
      <c r="A766" s="210" t="s">
        <v>1414</v>
      </c>
      <c r="B766" s="180" t="s">
        <v>1417</v>
      </c>
      <c r="C766" s="180" t="s">
        <v>1418</v>
      </c>
      <c r="D766" s="211">
        <v>2.713</v>
      </c>
    </row>
    <row r="767" spans="1:4" ht="12.75" customHeight="1">
      <c r="A767" s="430" t="s">
        <v>1217</v>
      </c>
      <c r="B767" s="431" t="s">
        <v>163</v>
      </c>
      <c r="C767" s="431" t="s">
        <v>470</v>
      </c>
      <c r="D767" s="432">
        <v>9.489</v>
      </c>
    </row>
    <row r="768" spans="1:4" ht="12.75" customHeight="1">
      <c r="A768" s="212" t="s">
        <v>165</v>
      </c>
      <c r="B768" s="181" t="s">
        <v>166</v>
      </c>
      <c r="C768" s="181" t="s">
        <v>167</v>
      </c>
      <c r="D768" s="213">
        <v>13.499</v>
      </c>
    </row>
    <row r="769" spans="1:4" ht="12.75" customHeight="1">
      <c r="A769" s="430" t="s">
        <v>35</v>
      </c>
      <c r="B769" s="431" t="s">
        <v>461</v>
      </c>
      <c r="C769" s="431" t="s">
        <v>168</v>
      </c>
      <c r="D769" s="432">
        <v>12.275</v>
      </c>
    </row>
    <row r="770" spans="1:4" ht="12.75" customHeight="1">
      <c r="A770" s="212" t="s">
        <v>169</v>
      </c>
      <c r="B770" s="181" t="s">
        <v>1526</v>
      </c>
      <c r="C770" s="181" t="s">
        <v>170</v>
      </c>
      <c r="D770" s="213">
        <v>7.447</v>
      </c>
    </row>
    <row r="771" spans="1:4" ht="12.75" customHeight="1">
      <c r="A771" s="430" t="s">
        <v>171</v>
      </c>
      <c r="B771" s="431" t="s">
        <v>172</v>
      </c>
      <c r="C771" s="431" t="s">
        <v>172</v>
      </c>
      <c r="D771" s="432">
        <v>5.015</v>
      </c>
    </row>
    <row r="772" spans="1:4" ht="12.75" customHeight="1">
      <c r="A772" s="212" t="s">
        <v>173</v>
      </c>
      <c r="B772" s="181" t="s">
        <v>174</v>
      </c>
      <c r="C772" s="181" t="s">
        <v>175</v>
      </c>
      <c r="D772" s="213">
        <v>0.475</v>
      </c>
    </row>
    <row r="773" spans="1:4" ht="12.75" customHeight="1">
      <c r="A773" s="430" t="s">
        <v>176</v>
      </c>
      <c r="B773" s="431" t="s">
        <v>1530</v>
      </c>
      <c r="C773" s="431" t="s">
        <v>1531</v>
      </c>
      <c r="D773" s="432">
        <v>16.181</v>
      </c>
    </row>
    <row r="774" spans="1:4" ht="12.75" customHeight="1">
      <c r="A774" s="212" t="s">
        <v>177</v>
      </c>
      <c r="B774" s="181" t="s">
        <v>178</v>
      </c>
      <c r="C774" s="181" t="s">
        <v>179</v>
      </c>
      <c r="D774" s="213">
        <v>24.284</v>
      </c>
    </row>
    <row r="775" spans="1:4" ht="12.75" customHeight="1">
      <c r="A775" s="430" t="s">
        <v>180</v>
      </c>
      <c r="B775" s="431" t="s">
        <v>181</v>
      </c>
      <c r="C775" s="431" t="s">
        <v>182</v>
      </c>
      <c r="D775" s="432">
        <v>1.713</v>
      </c>
    </row>
    <row r="776" spans="1:4" ht="12.75" customHeight="1">
      <c r="A776" s="212" t="s">
        <v>183</v>
      </c>
      <c r="B776" s="181" t="s">
        <v>1754</v>
      </c>
      <c r="C776" s="181" t="s">
        <v>1527</v>
      </c>
      <c r="D776" s="213">
        <v>5.067</v>
      </c>
    </row>
    <row r="777" spans="1:4" ht="12.75" customHeight="1">
      <c r="A777" s="433" t="s">
        <v>184</v>
      </c>
      <c r="B777" s="434" t="s">
        <v>185</v>
      </c>
      <c r="C777" s="434" t="s">
        <v>1419</v>
      </c>
      <c r="D777" s="435">
        <v>2.284</v>
      </c>
    </row>
    <row r="778" spans="1:4" ht="12.75" customHeight="1">
      <c r="A778" s="210" t="s">
        <v>184</v>
      </c>
      <c r="B778" s="180" t="s">
        <v>1419</v>
      </c>
      <c r="C778" s="180" t="s">
        <v>186</v>
      </c>
      <c r="D778" s="211">
        <v>10.678</v>
      </c>
    </row>
    <row r="779" spans="1:4" ht="12.75" customHeight="1">
      <c r="A779" s="433" t="s">
        <v>187</v>
      </c>
      <c r="B779" s="434" t="s">
        <v>188</v>
      </c>
      <c r="C779" s="434" t="s">
        <v>1532</v>
      </c>
      <c r="D779" s="435">
        <v>9.199</v>
      </c>
    </row>
    <row r="780" spans="1:4" ht="12.75" customHeight="1">
      <c r="A780" s="210" t="s">
        <v>187</v>
      </c>
      <c r="B780" s="180" t="s">
        <v>1532</v>
      </c>
      <c r="C780" s="180" t="s">
        <v>1947</v>
      </c>
      <c r="D780" s="211">
        <v>6.582</v>
      </c>
    </row>
    <row r="781" spans="1:4" ht="12.75" customHeight="1">
      <c r="A781" s="430" t="s">
        <v>189</v>
      </c>
      <c r="B781" s="431" t="s">
        <v>190</v>
      </c>
      <c r="C781" s="431" t="s">
        <v>191</v>
      </c>
      <c r="D781" s="432">
        <v>3.179</v>
      </c>
    </row>
    <row r="782" spans="1:4" ht="12.75" customHeight="1">
      <c r="A782" s="212" t="s">
        <v>192</v>
      </c>
      <c r="B782" s="181" t="s">
        <v>193</v>
      </c>
      <c r="C782" s="181" t="s">
        <v>194</v>
      </c>
      <c r="D782" s="213">
        <v>2.755</v>
      </c>
    </row>
    <row r="783" spans="1:4" ht="12.75" customHeight="1">
      <c r="A783" s="430" t="s">
        <v>195</v>
      </c>
      <c r="B783" s="431" t="s">
        <v>196</v>
      </c>
      <c r="C783" s="431" t="s">
        <v>197</v>
      </c>
      <c r="D783" s="432">
        <v>2.064</v>
      </c>
    </row>
    <row r="784" spans="1:4" ht="12.75" customHeight="1">
      <c r="A784" s="422" t="s">
        <v>105</v>
      </c>
      <c r="B784" s="423" t="s">
        <v>468</v>
      </c>
      <c r="C784" s="423" t="s">
        <v>198</v>
      </c>
      <c r="D784" s="407">
        <v>11.18</v>
      </c>
    </row>
    <row r="785" spans="1:4" ht="12.75" customHeight="1">
      <c r="A785" s="451" t="s">
        <v>199</v>
      </c>
      <c r="B785" s="452" t="s">
        <v>175</v>
      </c>
      <c r="C785" s="452" t="s">
        <v>200</v>
      </c>
      <c r="D785" s="453">
        <v>1.309</v>
      </c>
    </row>
    <row r="786" spans="1:4" ht="12.75" customHeight="1">
      <c r="A786" s="422" t="s">
        <v>201</v>
      </c>
      <c r="B786" s="423" t="s">
        <v>202</v>
      </c>
      <c r="C786" s="423" t="s">
        <v>203</v>
      </c>
      <c r="D786" s="407">
        <v>2.414</v>
      </c>
    </row>
    <row r="787" spans="1:4" ht="12.75" customHeight="1">
      <c r="A787" s="451" t="s">
        <v>204</v>
      </c>
      <c r="B787" s="452" t="s">
        <v>205</v>
      </c>
      <c r="C787" s="452" t="s">
        <v>206</v>
      </c>
      <c r="D787" s="453">
        <v>7.125</v>
      </c>
    </row>
    <row r="788" spans="1:4" ht="12.75" customHeight="1">
      <c r="A788" s="422" t="s">
        <v>207</v>
      </c>
      <c r="B788" s="423" t="s">
        <v>1755</v>
      </c>
      <c r="C788" s="423" t="s">
        <v>208</v>
      </c>
      <c r="D788" s="407">
        <v>0.527</v>
      </c>
    </row>
    <row r="789" spans="1:4" ht="12.75" customHeight="1">
      <c r="A789" s="451" t="s">
        <v>209</v>
      </c>
      <c r="B789" s="452" t="s">
        <v>208</v>
      </c>
      <c r="C789" s="452" t="s">
        <v>206</v>
      </c>
      <c r="D789" s="453">
        <v>1.578</v>
      </c>
    </row>
    <row r="790" spans="1:4" ht="12.75" customHeight="1">
      <c r="A790" s="212" t="s">
        <v>210</v>
      </c>
      <c r="B790" s="181" t="s">
        <v>193</v>
      </c>
      <c r="C790" s="181" t="s">
        <v>1420</v>
      </c>
      <c r="D790" s="213">
        <v>21.869</v>
      </c>
    </row>
    <row r="791" spans="1:4" ht="12.75" customHeight="1">
      <c r="A791" s="433" t="s">
        <v>211</v>
      </c>
      <c r="B791" s="434" t="s">
        <v>212</v>
      </c>
      <c r="C791" s="434" t="s">
        <v>213</v>
      </c>
      <c r="D791" s="435">
        <v>7.595</v>
      </c>
    </row>
    <row r="792" spans="1:4" ht="12.75" customHeight="1">
      <c r="A792" s="210" t="s">
        <v>211</v>
      </c>
      <c r="B792" s="180" t="s">
        <v>214</v>
      </c>
      <c r="C792" s="180" t="s">
        <v>215</v>
      </c>
      <c r="D792" s="211">
        <v>1.585</v>
      </c>
    </row>
    <row r="793" spans="1:4" ht="12.75" customHeight="1">
      <c r="A793" s="427" t="s">
        <v>218</v>
      </c>
      <c r="B793" s="428" t="s">
        <v>1528</v>
      </c>
      <c r="C793" s="428" t="s">
        <v>219</v>
      </c>
      <c r="D793" s="429">
        <v>19.146</v>
      </c>
    </row>
    <row r="794" spans="1:4" ht="12.75" customHeight="1">
      <c r="A794" s="206" t="s">
        <v>220</v>
      </c>
      <c r="B794" s="171" t="s">
        <v>1756</v>
      </c>
      <c r="C794" s="171" t="s">
        <v>469</v>
      </c>
      <c r="D794" s="207">
        <v>8.84</v>
      </c>
    </row>
    <row r="795" spans="1:4" s="214" customFormat="1" ht="12.75" customHeight="1">
      <c r="A795" s="430" t="s">
        <v>221</v>
      </c>
      <c r="B795" s="431" t="s">
        <v>1529</v>
      </c>
      <c r="C795" s="431" t="s">
        <v>189</v>
      </c>
      <c r="D795" s="432">
        <v>1.044</v>
      </c>
    </row>
    <row r="796" spans="1:4" ht="12.75" customHeight="1">
      <c r="A796" s="212" t="s">
        <v>222</v>
      </c>
      <c r="B796" s="181" t="s">
        <v>1533</v>
      </c>
      <c r="C796" s="181" t="s">
        <v>215</v>
      </c>
      <c r="D796" s="213">
        <v>2.435</v>
      </c>
    </row>
    <row r="797" spans="1:4" ht="12.75" customHeight="1">
      <c r="A797" s="430" t="s">
        <v>1757</v>
      </c>
      <c r="B797" s="431" t="s">
        <v>1758</v>
      </c>
      <c r="C797" s="431" t="s">
        <v>1759</v>
      </c>
      <c r="D797" s="432">
        <v>1.31</v>
      </c>
    </row>
    <row r="798" spans="1:4" ht="12.75" customHeight="1">
      <c r="A798" s="212" t="s">
        <v>223</v>
      </c>
      <c r="B798" s="181" t="s">
        <v>212</v>
      </c>
      <c r="C798" s="181" t="s">
        <v>1420</v>
      </c>
      <c r="D798" s="213">
        <v>14.724</v>
      </c>
    </row>
    <row r="799" spans="1:4" ht="12.75" customHeight="1">
      <c r="A799" s="430" t="s">
        <v>224</v>
      </c>
      <c r="B799" s="431" t="s">
        <v>1421</v>
      </c>
      <c r="C799" s="431" t="s">
        <v>225</v>
      </c>
      <c r="D799" s="432">
        <v>2.45</v>
      </c>
    </row>
    <row r="800" spans="1:4" ht="12.75" customHeight="1">
      <c r="A800" s="212" t="s">
        <v>1760</v>
      </c>
      <c r="B800" s="181" t="s">
        <v>1761</v>
      </c>
      <c r="C800" s="181" t="s">
        <v>1762</v>
      </c>
      <c r="D800" s="213">
        <v>0.56</v>
      </c>
    </row>
    <row r="801" spans="1:4" ht="12.75" customHeight="1">
      <c r="A801" s="430" t="s">
        <v>226</v>
      </c>
      <c r="B801" s="431" t="s">
        <v>227</v>
      </c>
      <c r="C801" s="431" t="s">
        <v>228</v>
      </c>
      <c r="D801" s="432">
        <v>4.7</v>
      </c>
    </row>
    <row r="802" spans="1:4" ht="12.75" customHeight="1">
      <c r="A802" s="212" t="s">
        <v>229</v>
      </c>
      <c r="B802" s="181" t="s">
        <v>230</v>
      </c>
      <c r="C802" s="181" t="s">
        <v>1763</v>
      </c>
      <c r="D802" s="213">
        <v>7.523</v>
      </c>
    </row>
    <row r="803" spans="1:4" ht="12.75" customHeight="1">
      <c r="A803" s="433" t="s">
        <v>231</v>
      </c>
      <c r="B803" s="434" t="s">
        <v>232</v>
      </c>
      <c r="C803" s="434" t="s">
        <v>233</v>
      </c>
      <c r="D803" s="435">
        <v>0.8</v>
      </c>
    </row>
    <row r="804" spans="1:4" ht="12.75" customHeight="1">
      <c r="A804" s="210" t="s">
        <v>231</v>
      </c>
      <c r="B804" s="180" t="s">
        <v>1534</v>
      </c>
      <c r="C804" s="180" t="s">
        <v>1535</v>
      </c>
      <c r="D804" s="211">
        <v>4.431</v>
      </c>
    </row>
    <row r="805" spans="1:4" ht="12.75" customHeight="1">
      <c r="A805" s="430" t="s">
        <v>234</v>
      </c>
      <c r="B805" s="431" t="s">
        <v>1536</v>
      </c>
      <c r="C805" s="431" t="s">
        <v>235</v>
      </c>
      <c r="D805" s="432">
        <v>0.548</v>
      </c>
    </row>
    <row r="806" spans="1:4" ht="12.75" customHeight="1">
      <c r="A806" s="212" t="s">
        <v>39</v>
      </c>
      <c r="B806" s="181" t="s">
        <v>236</v>
      </c>
      <c r="C806" s="181" t="s">
        <v>1537</v>
      </c>
      <c r="D806" s="213">
        <v>2.177</v>
      </c>
    </row>
    <row r="807" spans="1:4" ht="12.75" customHeight="1">
      <c r="A807" s="430" t="s">
        <v>237</v>
      </c>
      <c r="B807" s="431" t="s">
        <v>238</v>
      </c>
      <c r="C807" s="431" t="s">
        <v>239</v>
      </c>
      <c r="D807" s="432">
        <v>15.69</v>
      </c>
    </row>
    <row r="808" spans="1:4" ht="12.75" customHeight="1">
      <c r="A808" s="212" t="s">
        <v>240</v>
      </c>
      <c r="B808" s="181" t="s">
        <v>409</v>
      </c>
      <c r="C808" s="181" t="s">
        <v>410</v>
      </c>
      <c r="D808" s="213">
        <v>8.99</v>
      </c>
    </row>
    <row r="809" spans="1:4" ht="12.75" customHeight="1">
      <c r="A809" s="430" t="s">
        <v>241</v>
      </c>
      <c r="B809" s="431" t="s">
        <v>1525</v>
      </c>
      <c r="C809" s="431" t="s">
        <v>1538</v>
      </c>
      <c r="D809" s="432">
        <v>28.035</v>
      </c>
    </row>
    <row r="810" spans="1:4" ht="15">
      <c r="A810" s="214"/>
      <c r="B810" s="242"/>
      <c r="C810" s="443" t="s">
        <v>1764</v>
      </c>
      <c r="D810" s="446">
        <f>SUM(D760:D809)</f>
        <v>442.156</v>
      </c>
    </row>
    <row r="811" spans="1:4" ht="15">
      <c r="A811" s="214"/>
      <c r="B811" s="242"/>
      <c r="C811" s="242"/>
      <c r="D811" s="215"/>
    </row>
    <row r="812" spans="1:4" ht="15">
      <c r="A812" s="212"/>
      <c r="B812" s="243"/>
      <c r="C812" s="249" t="s">
        <v>1539</v>
      </c>
      <c r="D812" s="250">
        <f>D367+D664+D757+D810+D520</f>
        <v>5309.546999999999</v>
      </c>
    </row>
    <row r="813" ht="15">
      <c r="A813" s="188" t="s">
        <v>1782</v>
      </c>
    </row>
    <row r="814" ht="15">
      <c r="A814" s="67" t="s">
        <v>1766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rowBreaks count="11" manualBreakCount="11">
    <brk id="65" max="255" man="1"/>
    <brk id="117" max="3" man="1"/>
    <brk id="190" max="3" man="1"/>
    <brk id="262" max="3" man="1"/>
    <brk id="334" max="3" man="1"/>
    <brk id="401" max="3" man="1"/>
    <brk id="459" max="3" man="1"/>
    <brk id="521" max="3" man="1"/>
    <brk id="597" max="3" man="1"/>
    <brk id="665" max="3" man="1"/>
    <brk id="739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813"/>
  <sheetViews>
    <sheetView showGridLines="0" zoomScalePageLayoutView="0" workbookViewId="0" topLeftCell="A1">
      <selection activeCell="D16" sqref="D16"/>
    </sheetView>
  </sheetViews>
  <sheetFormatPr defaultColWidth="8.88671875" defaultRowHeight="15"/>
  <cols>
    <col min="1" max="1" width="1.66796875" style="71" customWidth="1"/>
    <col min="2" max="2" width="38.3359375" style="71" customWidth="1"/>
    <col min="3" max="8" width="8.10546875" style="71" customWidth="1"/>
    <col min="9" max="9" width="7.5546875" style="71" customWidth="1"/>
    <col min="10" max="16384" width="8.88671875" style="71" customWidth="1"/>
  </cols>
  <sheetData>
    <row r="1" spans="1:9" ht="15">
      <c r="A1" s="224" t="s">
        <v>1884</v>
      </c>
      <c r="B1" s="91"/>
      <c r="C1" s="91"/>
      <c r="D1" s="91"/>
      <c r="E1" s="91"/>
      <c r="F1" s="91"/>
      <c r="G1" s="91"/>
      <c r="H1" s="91"/>
      <c r="I1" s="91"/>
    </row>
    <row r="2" spans="1:9" ht="12">
      <c r="A2" s="91"/>
      <c r="B2" s="91"/>
      <c r="C2" s="91"/>
      <c r="D2" s="91"/>
      <c r="E2" s="91"/>
      <c r="F2" s="186"/>
      <c r="G2" s="91"/>
      <c r="H2" s="186"/>
      <c r="I2" s="91"/>
    </row>
    <row r="3" spans="1:9" ht="18" customHeight="1">
      <c r="A3" s="67"/>
      <c r="B3" s="67"/>
      <c r="C3" s="67"/>
      <c r="D3" s="67"/>
      <c r="E3" s="67"/>
      <c r="F3" s="67"/>
      <c r="G3" s="67"/>
      <c r="H3" s="67"/>
      <c r="I3" s="93" t="s">
        <v>252</v>
      </c>
    </row>
    <row r="4" spans="1:9" ht="18" customHeight="1">
      <c r="A4" s="290"/>
      <c r="B4" s="384"/>
      <c r="C4" s="290" t="s">
        <v>247</v>
      </c>
      <c r="D4" s="290" t="s">
        <v>248</v>
      </c>
      <c r="E4" s="290" t="s">
        <v>249</v>
      </c>
      <c r="F4" s="290" t="s">
        <v>250</v>
      </c>
      <c r="G4" s="290" t="s">
        <v>253</v>
      </c>
      <c r="H4" s="290" t="s">
        <v>292</v>
      </c>
      <c r="I4" s="290" t="s">
        <v>370</v>
      </c>
    </row>
    <row r="5" spans="1:9" ht="12">
      <c r="A5" s="92"/>
      <c r="B5" s="92"/>
      <c r="C5" s="97"/>
      <c r="D5" s="97"/>
      <c r="E5" s="97"/>
      <c r="F5" s="97"/>
      <c r="G5" s="97"/>
      <c r="H5" s="234"/>
      <c r="I5" s="235"/>
    </row>
    <row r="6" spans="1:9" ht="12">
      <c r="A6" s="392" t="s">
        <v>293</v>
      </c>
      <c r="B6" s="392"/>
      <c r="C6" s="393">
        <f>SUM(C7:C9)</f>
        <v>2080.7</v>
      </c>
      <c r="D6" s="393">
        <f>SUM(D7:D9)</f>
        <v>1239.1</v>
      </c>
      <c r="E6" s="393">
        <f>SUM(E7:E9)</f>
        <v>1556.7</v>
      </c>
      <c r="F6" s="393">
        <f>SUM(F7:F9)</f>
        <v>1131.4</v>
      </c>
      <c r="G6" s="393">
        <f>SUM(C6:F6)</f>
        <v>6007.9</v>
      </c>
      <c r="H6" s="394">
        <f>SUM(H7:H9)</f>
        <v>71291</v>
      </c>
      <c r="I6" s="395">
        <f>G6/H6</f>
        <v>0.0842729096239357</v>
      </c>
    </row>
    <row r="7" spans="1:9" ht="12">
      <c r="A7" s="67"/>
      <c r="B7" s="67" t="s">
        <v>1778</v>
      </c>
      <c r="C7" s="154">
        <v>159.4</v>
      </c>
      <c r="D7" s="184">
        <v>0</v>
      </c>
      <c r="E7" s="184">
        <v>0</v>
      </c>
      <c r="F7" s="154">
        <v>10.6</v>
      </c>
      <c r="G7" s="154">
        <f>SUM(C7:F7)</f>
        <v>170</v>
      </c>
      <c r="H7" s="230">
        <v>329</v>
      </c>
      <c r="I7" s="232">
        <f>G7/H7</f>
        <v>0.5167173252279635</v>
      </c>
    </row>
    <row r="8" spans="1:9" ht="12">
      <c r="A8" s="67"/>
      <c r="B8" s="301" t="s">
        <v>1780</v>
      </c>
      <c r="C8" s="385">
        <f>287.9+54.2</f>
        <v>342.09999999999997</v>
      </c>
      <c r="D8" s="385">
        <f>90+21.8</f>
        <v>111.8</v>
      </c>
      <c r="E8" s="385">
        <v>28.4</v>
      </c>
      <c r="F8" s="385">
        <f>23.1+22.5</f>
        <v>45.6</v>
      </c>
      <c r="G8" s="385">
        <f>SUM(C8:F8)</f>
        <v>527.9</v>
      </c>
      <c r="H8" s="385">
        <f>2907+766</f>
        <v>3673</v>
      </c>
      <c r="I8" s="386">
        <f>G8/H8</f>
        <v>0.14372447590525456</v>
      </c>
    </row>
    <row r="9" spans="1:9" ht="12">
      <c r="A9" s="67"/>
      <c r="B9" s="67" t="s">
        <v>1779</v>
      </c>
      <c r="C9" s="154">
        <v>1579.2</v>
      </c>
      <c r="D9" s="154">
        <v>1127.3</v>
      </c>
      <c r="E9" s="154">
        <v>1528.3</v>
      </c>
      <c r="F9" s="154">
        <v>1075.2</v>
      </c>
      <c r="G9" s="154">
        <f>SUM(C9:F9)</f>
        <v>5310</v>
      </c>
      <c r="H9" s="230">
        <v>67289</v>
      </c>
      <c r="I9" s="232">
        <f>G9/H9</f>
        <v>0.07891334393437263</v>
      </c>
    </row>
    <row r="10" spans="1:9" ht="12">
      <c r="A10" s="67"/>
      <c r="B10" s="67"/>
      <c r="C10" s="178"/>
      <c r="D10" s="178"/>
      <c r="E10" s="178"/>
      <c r="F10" s="178"/>
      <c r="G10" s="178"/>
      <c r="H10" s="231"/>
      <c r="I10" s="233"/>
    </row>
    <row r="11" spans="1:9" ht="12">
      <c r="A11" s="392" t="s">
        <v>262</v>
      </c>
      <c r="B11" s="392"/>
      <c r="C11" s="396">
        <f>SUM(C12:C14)</f>
        <v>306.8</v>
      </c>
      <c r="D11" s="396">
        <f>SUM(D12:D14)</f>
        <v>442</v>
      </c>
      <c r="E11" s="396">
        <f>SUM(E12:E14)</f>
        <v>529.2</v>
      </c>
      <c r="F11" s="396">
        <f>SUM(F12:F14)</f>
        <v>583.0999999999999</v>
      </c>
      <c r="G11" s="396">
        <f>SUM(C11:F11)</f>
        <v>1861.1</v>
      </c>
      <c r="H11" s="393">
        <f>SUM(H12:H14)</f>
        <v>26395.39</v>
      </c>
      <c r="I11" s="397">
        <f>G11/H11</f>
        <v>0.07050852440520863</v>
      </c>
    </row>
    <row r="12" spans="1:9" ht="12">
      <c r="A12" s="67"/>
      <c r="B12" s="67" t="s">
        <v>278</v>
      </c>
      <c r="C12" s="185">
        <v>111.8</v>
      </c>
      <c r="D12" s="185">
        <v>99.8</v>
      </c>
      <c r="E12" s="185">
        <v>60.6</v>
      </c>
      <c r="F12" s="185">
        <v>190</v>
      </c>
      <c r="G12" s="185">
        <f>SUM(C12:F12)</f>
        <v>462.2</v>
      </c>
      <c r="H12" s="230">
        <v>2538.56</v>
      </c>
      <c r="I12" s="232">
        <f>G12/H12</f>
        <v>0.18207172570276062</v>
      </c>
    </row>
    <row r="13" spans="1:9" ht="12">
      <c r="A13" s="67"/>
      <c r="B13" s="301" t="s">
        <v>294</v>
      </c>
      <c r="C13" s="387">
        <f>142.5+2.5</f>
        <v>145</v>
      </c>
      <c r="D13" s="387">
        <v>38.4</v>
      </c>
      <c r="E13" s="387">
        <f>116.2+10.3</f>
        <v>126.5</v>
      </c>
      <c r="F13" s="387">
        <f>88.7+14.2</f>
        <v>102.9</v>
      </c>
      <c r="G13" s="387">
        <f>SUM(C13:F13)</f>
        <v>412.79999999999995</v>
      </c>
      <c r="H13" s="385">
        <f>8911.3+507.53</f>
        <v>9418.83</v>
      </c>
      <c r="I13" s="386">
        <f>G13/H13</f>
        <v>0.0438270995442109</v>
      </c>
    </row>
    <row r="14" spans="1:9" ht="12">
      <c r="A14" s="67"/>
      <c r="B14" s="67" t="s">
        <v>296</v>
      </c>
      <c r="C14" s="185">
        <v>50</v>
      </c>
      <c r="D14" s="185">
        <v>303.8</v>
      </c>
      <c r="E14" s="185">
        <v>342.1</v>
      </c>
      <c r="F14" s="185">
        <v>290.2</v>
      </c>
      <c r="G14" s="185">
        <f>SUM(C14:F14)</f>
        <v>986.1000000000001</v>
      </c>
      <c r="H14" s="230">
        <v>14438</v>
      </c>
      <c r="I14" s="232">
        <f>G14/H14</f>
        <v>0.0682989333702729</v>
      </c>
    </row>
    <row r="15" spans="1:9" ht="12">
      <c r="A15" s="67"/>
      <c r="B15" s="67"/>
      <c r="C15" s="178"/>
      <c r="D15" s="178"/>
      <c r="E15" s="178"/>
      <c r="F15" s="178"/>
      <c r="G15" s="178"/>
      <c r="H15" s="231"/>
      <c r="I15" s="233"/>
    </row>
    <row r="16" spans="1:9" ht="12">
      <c r="A16" s="392" t="s">
        <v>270</v>
      </c>
      <c r="B16" s="392"/>
      <c r="C16" s="393">
        <f>SUM(C17:C19)</f>
        <v>1575</v>
      </c>
      <c r="D16" s="393">
        <f>SUM(D17:D19)</f>
        <v>783.2</v>
      </c>
      <c r="E16" s="393">
        <f>SUM(E17:E19)</f>
        <v>817.9259999999999</v>
      </c>
      <c r="F16" s="393">
        <f>SUM(F17:F19)</f>
        <v>1093.1000000000001</v>
      </c>
      <c r="G16" s="393">
        <f>SUM(C16:F16)</f>
        <v>4269.226</v>
      </c>
      <c r="H16" s="394">
        <f>SUM(H17:H19)</f>
        <v>67797</v>
      </c>
      <c r="I16" s="395">
        <f>G16/H16</f>
        <v>0.06297072141835183</v>
      </c>
    </row>
    <row r="17" spans="1:9" ht="12">
      <c r="A17" s="91"/>
      <c r="B17" s="67" t="s">
        <v>278</v>
      </c>
      <c r="C17" s="184">
        <v>0</v>
      </c>
      <c r="D17" s="184">
        <v>0</v>
      </c>
      <c r="E17" s="184">
        <v>0</v>
      </c>
      <c r="F17" s="184">
        <v>0</v>
      </c>
      <c r="G17" s="154">
        <f>SUM(C17:F17)</f>
        <v>0</v>
      </c>
      <c r="H17" s="230">
        <v>171</v>
      </c>
      <c r="I17" s="383" t="s">
        <v>269</v>
      </c>
    </row>
    <row r="18" spans="1:9" ht="12">
      <c r="A18" s="67"/>
      <c r="B18" s="301" t="s">
        <v>294</v>
      </c>
      <c r="C18" s="388">
        <v>0</v>
      </c>
      <c r="D18" s="385">
        <v>2.6</v>
      </c>
      <c r="E18" s="388">
        <v>0.026</v>
      </c>
      <c r="F18" s="388">
        <v>7.4</v>
      </c>
      <c r="G18" s="385">
        <f>SUM(C18:F18)</f>
        <v>10.026</v>
      </c>
      <c r="H18" s="385">
        <f>587+391</f>
        <v>978</v>
      </c>
      <c r="I18" s="386">
        <f>G18/H18</f>
        <v>0.010251533742331289</v>
      </c>
    </row>
    <row r="19" spans="1:9" ht="12">
      <c r="A19" s="67"/>
      <c r="B19" s="67" t="s">
        <v>296</v>
      </c>
      <c r="C19" s="154">
        <v>1575</v>
      </c>
      <c r="D19" s="154">
        <v>780.6</v>
      </c>
      <c r="E19" s="184">
        <v>817.9</v>
      </c>
      <c r="F19" s="184">
        <v>1085.7</v>
      </c>
      <c r="G19" s="154">
        <f>SUM(C19:F19)</f>
        <v>4259.2</v>
      </c>
      <c r="H19" s="230">
        <v>66648</v>
      </c>
      <c r="I19" s="232">
        <f>G19/H19</f>
        <v>0.06390589365022206</v>
      </c>
    </row>
    <row r="20" spans="1:9" ht="12">
      <c r="A20" s="67"/>
      <c r="B20" s="67"/>
      <c r="C20" s="178"/>
      <c r="D20" s="178"/>
      <c r="E20" s="178"/>
      <c r="F20" s="178"/>
      <c r="G20" s="178"/>
      <c r="H20" s="230"/>
      <c r="I20" s="236"/>
    </row>
    <row r="21" spans="1:9" ht="12">
      <c r="A21" s="398" t="s">
        <v>271</v>
      </c>
      <c r="B21" s="398"/>
      <c r="C21" s="399">
        <f>SUM(C22:C24)</f>
        <v>3962.5</v>
      </c>
      <c r="D21" s="399">
        <f>SUM(D22:D24)</f>
        <v>2464.2999999999997</v>
      </c>
      <c r="E21" s="399">
        <f>SUM(E22:E24)</f>
        <v>2903.826</v>
      </c>
      <c r="F21" s="399">
        <f>SUM(F22:F24)</f>
        <v>2807.6000000000004</v>
      </c>
      <c r="G21" s="399">
        <f>C21+D21+E21+F21</f>
        <v>12138.226</v>
      </c>
      <c r="H21" s="400">
        <f>H6+H11+H16</f>
        <v>165483.39</v>
      </c>
      <c r="I21" s="401">
        <f>G21/H21</f>
        <v>0.07335011689088554</v>
      </c>
    </row>
    <row r="22" spans="1:9" ht="12">
      <c r="A22" s="91"/>
      <c r="B22" s="91" t="s">
        <v>278</v>
      </c>
      <c r="C22" s="153">
        <f aca="true" t="shared" si="0" ref="C22:G24">C7+C12+C17</f>
        <v>271.2</v>
      </c>
      <c r="D22" s="153">
        <f t="shared" si="0"/>
        <v>99.8</v>
      </c>
      <c r="E22" s="153">
        <f t="shared" si="0"/>
        <v>60.6</v>
      </c>
      <c r="F22" s="153">
        <f t="shared" si="0"/>
        <v>200.6</v>
      </c>
      <c r="G22" s="153">
        <f t="shared" si="0"/>
        <v>632.2</v>
      </c>
      <c r="H22" s="382">
        <v>3039</v>
      </c>
      <c r="I22" s="232">
        <f>G22/H22</f>
        <v>0.20802895689371506</v>
      </c>
    </row>
    <row r="23" spans="1:9" ht="12">
      <c r="A23" s="91"/>
      <c r="B23" s="389" t="s">
        <v>294</v>
      </c>
      <c r="C23" s="390">
        <f t="shared" si="0"/>
        <v>487.09999999999997</v>
      </c>
      <c r="D23" s="390">
        <f t="shared" si="0"/>
        <v>152.79999999999998</v>
      </c>
      <c r="E23" s="390">
        <f t="shared" si="0"/>
        <v>154.92600000000002</v>
      </c>
      <c r="F23" s="390">
        <f t="shared" si="0"/>
        <v>155.9</v>
      </c>
      <c r="G23" s="390">
        <f t="shared" si="0"/>
        <v>950.7259999999999</v>
      </c>
      <c r="H23" s="391">
        <f>12405+1665</f>
        <v>14070</v>
      </c>
      <c r="I23" s="386">
        <f>G23/H23</f>
        <v>0.06757114427860696</v>
      </c>
    </row>
    <row r="24" spans="1:9" ht="12">
      <c r="A24" s="91"/>
      <c r="B24" s="91" t="s">
        <v>296</v>
      </c>
      <c r="C24" s="153">
        <f t="shared" si="0"/>
        <v>3204.2</v>
      </c>
      <c r="D24" s="153">
        <f t="shared" si="0"/>
        <v>2211.7</v>
      </c>
      <c r="E24" s="153">
        <f t="shared" si="0"/>
        <v>2688.3</v>
      </c>
      <c r="F24" s="153">
        <f t="shared" si="0"/>
        <v>2451.1000000000004</v>
      </c>
      <c r="G24" s="153">
        <f t="shared" si="0"/>
        <v>10555.3</v>
      </c>
      <c r="H24" s="382">
        <v>148374</v>
      </c>
      <c r="I24" s="232">
        <f>G24/H24</f>
        <v>0.07113982234084139</v>
      </c>
    </row>
    <row r="25" spans="1:9" ht="12">
      <c r="A25" s="88"/>
      <c r="B25" s="88"/>
      <c r="C25" s="98"/>
      <c r="D25" s="98"/>
      <c r="E25" s="98"/>
      <c r="F25" s="98"/>
      <c r="G25" s="98"/>
      <c r="H25" s="237"/>
      <c r="I25" s="238"/>
    </row>
    <row r="26" spans="1:9" ht="12">
      <c r="A26" s="188" t="s">
        <v>1782</v>
      </c>
      <c r="B26" s="67"/>
      <c r="C26" s="67"/>
      <c r="D26" s="67"/>
      <c r="E26" s="67"/>
      <c r="F26" s="67"/>
      <c r="G26" s="67"/>
      <c r="H26" s="67"/>
      <c r="I26" s="67"/>
    </row>
    <row r="27" spans="1:13" ht="15">
      <c r="A27" s="67" t="s">
        <v>121</v>
      </c>
      <c r="B27"/>
      <c r="C27"/>
      <c r="D27"/>
      <c r="E27"/>
      <c r="F27"/>
      <c r="G27"/>
      <c r="H27"/>
      <c r="I27"/>
      <c r="J27"/>
      <c r="K27"/>
      <c r="L27" s="36"/>
      <c r="M27" s="67"/>
    </row>
    <row r="32" spans="1:2" ht="12">
      <c r="A32" s="92"/>
      <c r="B32" s="92"/>
    </row>
    <row r="33" spans="1:9" ht="12">
      <c r="A33" s="91"/>
      <c r="B33" s="91"/>
      <c r="C33" s="152"/>
      <c r="D33" s="152"/>
      <c r="E33" s="152"/>
      <c r="F33" s="152"/>
      <c r="G33" s="152"/>
      <c r="H33" s="153"/>
      <c r="I33" s="157"/>
    </row>
    <row r="34" spans="1:9" ht="12">
      <c r="A34" s="67"/>
      <c r="B34" s="67"/>
      <c r="D34" s="155"/>
      <c r="E34" s="155"/>
      <c r="I34" s="156"/>
    </row>
    <row r="35" spans="1:9" ht="12">
      <c r="A35" s="67"/>
      <c r="B35" s="67"/>
      <c r="H35" s="154"/>
      <c r="I35" s="156"/>
    </row>
    <row r="36" spans="1:9" ht="12">
      <c r="A36" s="67"/>
      <c r="B36" s="67"/>
      <c r="C36" s="154"/>
      <c r="D36" s="154"/>
      <c r="E36" s="154"/>
      <c r="F36" s="154"/>
      <c r="H36" s="154"/>
      <c r="I36" s="156"/>
    </row>
    <row r="37" spans="1:2" ht="12">
      <c r="A37" s="67"/>
      <c r="B37" s="67"/>
    </row>
    <row r="38" spans="1:9" ht="12">
      <c r="A38" s="91"/>
      <c r="B38" s="91"/>
      <c r="C38" s="152"/>
      <c r="D38" s="152"/>
      <c r="E38" s="152"/>
      <c r="F38" s="152"/>
      <c r="G38" s="153"/>
      <c r="H38" s="153"/>
      <c r="I38" s="157"/>
    </row>
    <row r="39" spans="1:9" ht="12">
      <c r="A39" s="67"/>
      <c r="B39" s="67"/>
      <c r="H39" s="154"/>
      <c r="I39" s="156"/>
    </row>
    <row r="40" spans="1:9" ht="12">
      <c r="A40" s="67"/>
      <c r="B40" s="67"/>
      <c r="H40" s="154"/>
      <c r="I40" s="156"/>
    </row>
    <row r="41" spans="1:9" ht="12">
      <c r="A41" s="67"/>
      <c r="B41" s="67"/>
      <c r="H41" s="154"/>
      <c r="I41" s="156"/>
    </row>
    <row r="42" spans="1:2" ht="12">
      <c r="A42" s="67"/>
      <c r="B42" s="67"/>
    </row>
    <row r="43" spans="1:9" ht="12">
      <c r="A43" s="91"/>
      <c r="B43" s="91"/>
      <c r="C43" s="153"/>
      <c r="D43" s="153"/>
      <c r="E43" s="153"/>
      <c r="F43" s="153"/>
      <c r="G43" s="153"/>
      <c r="H43" s="153"/>
      <c r="I43" s="157"/>
    </row>
    <row r="44" spans="1:31" ht="12">
      <c r="A44" s="91"/>
      <c r="B44" s="67"/>
      <c r="C44" s="155"/>
      <c r="D44" s="155"/>
      <c r="E44" s="155"/>
      <c r="F44" s="155"/>
      <c r="G44" s="155"/>
      <c r="I44" s="155"/>
      <c r="AC44" s="245"/>
      <c r="AD44" s="245"/>
      <c r="AE44" s="245"/>
    </row>
    <row r="45" spans="1:31" ht="12">
      <c r="A45" s="67"/>
      <c r="B45" s="67"/>
      <c r="C45" s="155"/>
      <c r="E45" s="155"/>
      <c r="F45" s="155"/>
      <c r="G45" s="154"/>
      <c r="I45" s="156"/>
      <c r="AC45" s="245"/>
      <c r="AD45" s="245"/>
      <c r="AE45" s="245"/>
    </row>
    <row r="46" spans="1:31" ht="12">
      <c r="A46" s="67"/>
      <c r="B46" s="67"/>
      <c r="C46" s="154"/>
      <c r="F46" s="154"/>
      <c r="G46" s="154"/>
      <c r="H46" s="154"/>
      <c r="I46" s="156"/>
      <c r="AC46" s="245"/>
      <c r="AD46" s="245"/>
      <c r="AE46" s="245"/>
    </row>
    <row r="47" spans="1:2" ht="12">
      <c r="A47" s="67"/>
      <c r="B47" s="67"/>
    </row>
    <row r="48" spans="1:9" ht="12">
      <c r="A48" s="91"/>
      <c r="B48" s="91"/>
      <c r="C48" s="153"/>
      <c r="D48" s="153"/>
      <c r="E48" s="153"/>
      <c r="F48" s="153"/>
      <c r="G48" s="153"/>
      <c r="H48" s="153"/>
      <c r="I48" s="157"/>
    </row>
    <row r="49" spans="1:9" ht="12">
      <c r="A49" s="91"/>
      <c r="B49" s="91"/>
      <c r="C49" s="152"/>
      <c r="D49" s="152"/>
      <c r="E49" s="152"/>
      <c r="F49" s="152"/>
      <c r="G49" s="153"/>
      <c r="H49" s="153"/>
      <c r="I49" s="156"/>
    </row>
    <row r="50" spans="1:9" ht="12">
      <c r="A50" s="91"/>
      <c r="B50" s="91"/>
      <c r="C50" s="152"/>
      <c r="D50" s="152"/>
      <c r="E50" s="152"/>
      <c r="F50" s="152"/>
      <c r="G50" s="153"/>
      <c r="H50" s="153"/>
      <c r="I50" s="156"/>
    </row>
    <row r="51" spans="1:9" ht="12">
      <c r="A51" s="91"/>
      <c r="B51" s="91"/>
      <c r="C51" s="153"/>
      <c r="D51" s="153"/>
      <c r="E51" s="153"/>
      <c r="F51" s="153"/>
      <c r="G51" s="153"/>
      <c r="H51" s="153"/>
      <c r="I51" s="156"/>
    </row>
    <row r="813" spans="3:4" ht="12">
      <c r="C813" s="253"/>
      <c r="D813" s="253"/>
    </row>
  </sheetData>
  <sheetProtection/>
  <printOptions/>
  <pageMargins left="0.5905511811023623" right="0.3937007874015748" top="0.5511811023622047" bottom="0" header="0" footer="0"/>
  <pageSetup horizontalDpi="600" verticalDpi="600" orientation="portrait" paperSize="9" scale="80" r:id="rId1"/>
  <ignoredErrors>
    <ignoredError sqref="G6 G11 G1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E813"/>
  <sheetViews>
    <sheetView zoomScalePageLayoutView="0" workbookViewId="0" topLeftCell="A1">
      <selection activeCell="D16" sqref="D16"/>
    </sheetView>
  </sheetViews>
  <sheetFormatPr defaultColWidth="8.99609375" defaultRowHeight="15"/>
  <cols>
    <col min="1" max="1" width="1.33203125" style="139" customWidth="1"/>
    <col min="2" max="2" width="8.3359375" style="139" customWidth="1"/>
    <col min="3" max="3" width="9.10546875" style="140" customWidth="1"/>
    <col min="4" max="4" width="26.21484375" style="139" customWidth="1"/>
    <col min="5" max="5" width="54.3359375" style="139" bestFit="1" customWidth="1"/>
    <col min="6" max="6" width="6.77734375" style="139" customWidth="1"/>
    <col min="7" max="16384" width="8.99609375" style="139" customWidth="1"/>
  </cols>
  <sheetData>
    <row r="1" ht="15">
      <c r="A1" s="138" t="s">
        <v>1788</v>
      </c>
    </row>
    <row r="2" spans="1:4" s="141" customFormat="1" ht="15">
      <c r="A2" s="138" t="s">
        <v>1836</v>
      </c>
      <c r="C2" s="142"/>
      <c r="D2" s="166"/>
    </row>
    <row r="3" s="141" customFormat="1" ht="12">
      <c r="C3" s="142"/>
    </row>
    <row r="4" spans="1:6" s="143" customFormat="1" ht="18" customHeight="1">
      <c r="A4" s="353"/>
      <c r="B4" s="353" t="s">
        <v>1768</v>
      </c>
      <c r="C4" s="354" t="s">
        <v>275</v>
      </c>
      <c r="D4" s="353" t="s">
        <v>273</v>
      </c>
      <c r="E4" s="353" t="s">
        <v>276</v>
      </c>
      <c r="F4" s="355" t="s">
        <v>277</v>
      </c>
    </row>
    <row r="5" s="141" customFormat="1" ht="6.75" customHeight="1">
      <c r="C5" s="142"/>
    </row>
    <row r="6" spans="1:3" s="141" customFormat="1" ht="12">
      <c r="A6" s="144" t="s">
        <v>278</v>
      </c>
      <c r="C6" s="142"/>
    </row>
    <row r="7" spans="3:6" s="141" customFormat="1" ht="6.75" customHeight="1">
      <c r="C7" s="142"/>
      <c r="D7" s="145"/>
      <c r="E7" s="145"/>
      <c r="F7" s="145"/>
    </row>
    <row r="8" spans="2:7" s="141" customFormat="1" ht="12">
      <c r="B8" s="324" t="s">
        <v>247</v>
      </c>
      <c r="C8" s="325" t="s">
        <v>550</v>
      </c>
      <c r="D8" s="326" t="s">
        <v>1783</v>
      </c>
      <c r="E8" s="326" t="s">
        <v>1838</v>
      </c>
      <c r="F8" s="327">
        <v>4.37</v>
      </c>
      <c r="G8" s="328"/>
    </row>
    <row r="9" spans="2:7" s="141" customFormat="1" ht="12">
      <c r="B9" s="316" t="s">
        <v>247</v>
      </c>
      <c r="C9" s="320" t="s">
        <v>543</v>
      </c>
      <c r="D9" s="321" t="s">
        <v>545</v>
      </c>
      <c r="E9" s="318" t="s">
        <v>1839</v>
      </c>
      <c r="F9" s="319">
        <v>114.56</v>
      </c>
      <c r="G9" s="328"/>
    </row>
    <row r="10" spans="2:7" s="141" customFormat="1" ht="18" customHeight="1">
      <c r="B10" s="375" t="s">
        <v>247</v>
      </c>
      <c r="C10" s="376"/>
      <c r="D10" s="377"/>
      <c r="E10" s="377"/>
      <c r="F10" s="378">
        <f>SUM(F8:F9)</f>
        <v>118.93</v>
      </c>
      <c r="G10" s="328"/>
    </row>
    <row r="11" spans="2:7" s="141" customFormat="1" ht="6.75" customHeight="1">
      <c r="B11" s="328"/>
      <c r="C11" s="329"/>
      <c r="D11" s="330"/>
      <c r="E11" s="330"/>
      <c r="F11" s="327"/>
      <c r="G11" s="328"/>
    </row>
    <row r="12" spans="1:7" s="141" customFormat="1" ht="12">
      <c r="A12" s="166"/>
      <c r="B12" s="324" t="s">
        <v>279</v>
      </c>
      <c r="C12" s="325" t="s">
        <v>543</v>
      </c>
      <c r="D12" s="326" t="s">
        <v>545</v>
      </c>
      <c r="E12" s="326" t="s">
        <v>1854</v>
      </c>
      <c r="F12" s="331">
        <v>92.62</v>
      </c>
      <c r="G12" s="328"/>
    </row>
    <row r="13" spans="2:7" s="141" customFormat="1" ht="18" customHeight="1">
      <c r="B13" s="375" t="s">
        <v>248</v>
      </c>
      <c r="C13" s="379"/>
      <c r="D13" s="380"/>
      <c r="E13" s="380"/>
      <c r="F13" s="378">
        <f>SUM(F12:F12)</f>
        <v>92.62</v>
      </c>
      <c r="G13" s="328"/>
    </row>
    <row r="14" spans="2:7" s="141" customFormat="1" ht="6.75" customHeight="1">
      <c r="B14" s="332"/>
      <c r="C14" s="333"/>
      <c r="D14" s="334"/>
      <c r="E14" s="334"/>
      <c r="F14" s="335"/>
      <c r="G14" s="328"/>
    </row>
    <row r="15" spans="2:7" s="141" customFormat="1" ht="12">
      <c r="B15" s="324" t="s">
        <v>249</v>
      </c>
      <c r="C15" s="325" t="s">
        <v>357</v>
      </c>
      <c r="D15" s="326" t="s">
        <v>280</v>
      </c>
      <c r="E15" s="326" t="s">
        <v>1863</v>
      </c>
      <c r="F15" s="331">
        <v>60.47</v>
      </c>
      <c r="G15" s="328"/>
    </row>
    <row r="16" spans="2:7" s="141" customFormat="1" ht="18" customHeight="1">
      <c r="B16" s="375" t="s">
        <v>249</v>
      </c>
      <c r="C16" s="379"/>
      <c r="D16" s="380"/>
      <c r="E16" s="380"/>
      <c r="F16" s="378">
        <f>SUM(F15)</f>
        <v>60.47</v>
      </c>
      <c r="G16" s="328"/>
    </row>
    <row r="17" spans="2:7" s="141" customFormat="1" ht="6.75" customHeight="1">
      <c r="B17" s="324"/>
      <c r="C17" s="325"/>
      <c r="D17" s="326"/>
      <c r="E17" s="326"/>
      <c r="F17" s="331"/>
      <c r="G17" s="328"/>
    </row>
    <row r="18" spans="2:7" s="141" customFormat="1" ht="12">
      <c r="B18" s="324" t="s">
        <v>250</v>
      </c>
      <c r="C18" s="325" t="s">
        <v>357</v>
      </c>
      <c r="D18" s="326" t="s">
        <v>1765</v>
      </c>
      <c r="E18" s="326" t="s">
        <v>1871</v>
      </c>
      <c r="F18" s="331">
        <v>53.05</v>
      </c>
      <c r="G18" s="328"/>
    </row>
    <row r="19" spans="2:7" s="141" customFormat="1" ht="12">
      <c r="B19" s="316" t="s">
        <v>250</v>
      </c>
      <c r="C19" s="317" t="s">
        <v>543</v>
      </c>
      <c r="D19" s="318" t="s">
        <v>545</v>
      </c>
      <c r="E19" s="318" t="s">
        <v>1872</v>
      </c>
      <c r="F19" s="322">
        <v>138.08</v>
      </c>
      <c r="G19" s="328"/>
    </row>
    <row r="20" spans="2:7" s="141" customFormat="1" ht="18" customHeight="1">
      <c r="B20" s="375" t="s">
        <v>250</v>
      </c>
      <c r="C20" s="379"/>
      <c r="D20" s="380"/>
      <c r="E20" s="380"/>
      <c r="F20" s="378">
        <f>SUM(F18:F19)</f>
        <v>191.13</v>
      </c>
      <c r="G20" s="328"/>
    </row>
    <row r="21" spans="2:7" s="141" customFormat="1" ht="6.75" customHeight="1">
      <c r="B21" s="324"/>
      <c r="C21" s="325"/>
      <c r="D21" s="326"/>
      <c r="E21" s="326"/>
      <c r="F21" s="331"/>
      <c r="G21" s="328"/>
    </row>
    <row r="22" spans="1:7" s="141" customFormat="1" ht="12">
      <c r="A22" s="367"/>
      <c r="B22" s="368" t="s">
        <v>281</v>
      </c>
      <c r="C22" s="314"/>
      <c r="D22" s="315"/>
      <c r="E22" s="315"/>
      <c r="F22" s="369">
        <f>F20+F16+F13+F10</f>
        <v>463.15000000000003</v>
      </c>
      <c r="G22" s="328"/>
    </row>
    <row r="23" spans="2:7" s="141" customFormat="1" ht="6.75" customHeight="1">
      <c r="B23" s="324"/>
      <c r="C23" s="325"/>
      <c r="D23" s="326"/>
      <c r="E23" s="326"/>
      <c r="F23" s="331"/>
      <c r="G23" s="328"/>
    </row>
    <row r="24" spans="1:7" s="141" customFormat="1" ht="12">
      <c r="A24" s="144" t="s">
        <v>282</v>
      </c>
      <c r="B24" s="332"/>
      <c r="C24" s="333"/>
      <c r="D24" s="334"/>
      <c r="E24" s="334"/>
      <c r="F24" s="335"/>
      <c r="G24" s="328"/>
    </row>
    <row r="25" spans="2:7" s="141" customFormat="1" ht="6.75" customHeight="1">
      <c r="B25" s="332"/>
      <c r="C25" s="333"/>
      <c r="D25" s="334"/>
      <c r="E25" s="334"/>
      <c r="F25" s="335"/>
      <c r="G25" s="328"/>
    </row>
    <row r="26" spans="1:7" s="141" customFormat="1" ht="12">
      <c r="A26" s="166"/>
      <c r="B26" s="324" t="s">
        <v>247</v>
      </c>
      <c r="C26" s="325" t="s">
        <v>242</v>
      </c>
      <c r="D26" s="326" t="s">
        <v>299</v>
      </c>
      <c r="E26" s="326" t="s">
        <v>1840</v>
      </c>
      <c r="F26" s="331">
        <v>78.91</v>
      </c>
      <c r="G26" s="324"/>
    </row>
    <row r="27" spans="1:7" s="141" customFormat="1" ht="12">
      <c r="A27" s="166"/>
      <c r="B27" s="316" t="s">
        <v>247</v>
      </c>
      <c r="C27" s="317" t="s">
        <v>359</v>
      </c>
      <c r="D27" s="318" t="s">
        <v>544</v>
      </c>
      <c r="E27" s="318" t="s">
        <v>1841</v>
      </c>
      <c r="F27" s="322">
        <v>7.9</v>
      </c>
      <c r="G27" s="324"/>
    </row>
    <row r="28" spans="1:7" s="141" customFormat="1" ht="12">
      <c r="A28" s="166"/>
      <c r="B28" s="324" t="s">
        <v>247</v>
      </c>
      <c r="C28" s="325" t="s">
        <v>546</v>
      </c>
      <c r="D28" s="326" t="s">
        <v>547</v>
      </c>
      <c r="E28" s="326" t="s">
        <v>1842</v>
      </c>
      <c r="F28" s="331">
        <v>2.99</v>
      </c>
      <c r="G28" s="324"/>
    </row>
    <row r="29" spans="1:7" s="141" customFormat="1" ht="12">
      <c r="A29" s="166"/>
      <c r="B29" s="316" t="s">
        <v>247</v>
      </c>
      <c r="C29" s="317" t="s">
        <v>546</v>
      </c>
      <c r="D29" s="318" t="s">
        <v>547</v>
      </c>
      <c r="E29" s="318" t="s">
        <v>1843</v>
      </c>
      <c r="F29" s="322">
        <v>10.1</v>
      </c>
      <c r="G29" s="324"/>
    </row>
    <row r="30" spans="1:7" s="141" customFormat="1" ht="12">
      <c r="A30" s="166"/>
      <c r="B30" s="324" t="s">
        <v>247</v>
      </c>
      <c r="C30" s="325" t="s">
        <v>548</v>
      </c>
      <c r="D30" s="326" t="s">
        <v>549</v>
      </c>
      <c r="E30" s="326" t="s">
        <v>1844</v>
      </c>
      <c r="F30" s="331">
        <v>2.3</v>
      </c>
      <c r="G30" s="324"/>
    </row>
    <row r="31" spans="1:7" s="141" customFormat="1" ht="12">
      <c r="A31" s="166"/>
      <c r="B31" s="316" t="s">
        <v>247</v>
      </c>
      <c r="C31" s="317" t="s">
        <v>548</v>
      </c>
      <c r="D31" s="318" t="s">
        <v>549</v>
      </c>
      <c r="E31" s="318" t="s">
        <v>1845</v>
      </c>
      <c r="F31" s="322">
        <v>2.3</v>
      </c>
      <c r="G31" s="324"/>
    </row>
    <row r="32" spans="1:7" s="141" customFormat="1" ht="12">
      <c r="A32" s="166"/>
      <c r="B32" s="324" t="s">
        <v>247</v>
      </c>
      <c r="C32" s="325" t="s">
        <v>550</v>
      </c>
      <c r="D32" s="326" t="s">
        <v>551</v>
      </c>
      <c r="E32" s="326" t="s">
        <v>1846</v>
      </c>
      <c r="F32" s="331">
        <v>11.13</v>
      </c>
      <c r="G32" s="324"/>
    </row>
    <row r="33" spans="1:7" s="141" customFormat="1" ht="12">
      <c r="A33" s="166"/>
      <c r="B33" s="316" t="s">
        <v>247</v>
      </c>
      <c r="C33" s="317" t="s">
        <v>358</v>
      </c>
      <c r="D33" s="318" t="s">
        <v>552</v>
      </c>
      <c r="E33" s="318" t="s">
        <v>1847</v>
      </c>
      <c r="F33" s="322">
        <v>6.51</v>
      </c>
      <c r="G33" s="324"/>
    </row>
    <row r="34" spans="1:7" s="141" customFormat="1" ht="12">
      <c r="A34" s="166"/>
      <c r="B34" s="324" t="s">
        <v>247</v>
      </c>
      <c r="C34" s="325" t="s">
        <v>243</v>
      </c>
      <c r="D34" s="326" t="s">
        <v>553</v>
      </c>
      <c r="E34" s="326" t="s">
        <v>1848</v>
      </c>
      <c r="F34" s="331">
        <v>11.5</v>
      </c>
      <c r="G34" s="324"/>
    </row>
    <row r="35" spans="1:7" s="141" customFormat="1" ht="12">
      <c r="A35" s="166"/>
      <c r="B35" s="316" t="s">
        <v>247</v>
      </c>
      <c r="C35" s="317" t="s">
        <v>578</v>
      </c>
      <c r="D35" s="318" t="s">
        <v>295</v>
      </c>
      <c r="E35" s="318" t="s">
        <v>1849</v>
      </c>
      <c r="F35" s="322">
        <v>2.1</v>
      </c>
      <c r="G35" s="324"/>
    </row>
    <row r="36" spans="1:7" s="141" customFormat="1" ht="12">
      <c r="A36" s="166"/>
      <c r="B36" s="324" t="s">
        <v>247</v>
      </c>
      <c r="C36" s="325" t="s">
        <v>578</v>
      </c>
      <c r="D36" s="326" t="s">
        <v>295</v>
      </c>
      <c r="E36" s="326" t="s">
        <v>1850</v>
      </c>
      <c r="F36" s="331">
        <v>4.88</v>
      </c>
      <c r="G36" s="324"/>
    </row>
    <row r="37" spans="1:7" s="141" customFormat="1" ht="12">
      <c r="A37" s="166"/>
      <c r="B37" s="316" t="s">
        <v>247</v>
      </c>
      <c r="C37" s="317" t="s">
        <v>554</v>
      </c>
      <c r="D37" s="318" t="s">
        <v>1852</v>
      </c>
      <c r="E37" s="318" t="s">
        <v>1851</v>
      </c>
      <c r="F37" s="322">
        <v>2.1</v>
      </c>
      <c r="G37" s="324"/>
    </row>
    <row r="38" spans="2:7" s="141" customFormat="1" ht="18" customHeight="1">
      <c r="B38" s="375" t="s">
        <v>247</v>
      </c>
      <c r="C38" s="379"/>
      <c r="D38" s="380"/>
      <c r="E38" s="380"/>
      <c r="F38" s="378">
        <f>SUM(F26:F37)</f>
        <v>142.71999999999997</v>
      </c>
      <c r="G38" s="324"/>
    </row>
    <row r="39" spans="2:7" s="141" customFormat="1" ht="6.75" customHeight="1">
      <c r="B39" s="332"/>
      <c r="C39" s="333"/>
      <c r="D39" s="334"/>
      <c r="E39" s="334"/>
      <c r="F39" s="335"/>
      <c r="G39" s="328"/>
    </row>
    <row r="40" spans="2:7" s="141" customFormat="1" ht="12">
      <c r="B40" s="324" t="s">
        <v>279</v>
      </c>
      <c r="C40" s="325" t="s">
        <v>242</v>
      </c>
      <c r="D40" s="326" t="s">
        <v>1784</v>
      </c>
      <c r="E40" s="326" t="s">
        <v>1855</v>
      </c>
      <c r="F40" s="331">
        <v>13.08</v>
      </c>
      <c r="G40" s="324"/>
    </row>
    <row r="41" spans="2:7" s="141" customFormat="1" ht="12">
      <c r="B41" s="316" t="s">
        <v>279</v>
      </c>
      <c r="C41" s="317" t="s">
        <v>298</v>
      </c>
      <c r="D41" s="318" t="s">
        <v>557</v>
      </c>
      <c r="E41" s="318" t="s">
        <v>1856</v>
      </c>
      <c r="F41" s="322">
        <v>19.9</v>
      </c>
      <c r="G41" s="324"/>
    </row>
    <row r="42" spans="2:7" s="141" customFormat="1" ht="18" customHeight="1">
      <c r="B42" s="375" t="s">
        <v>248</v>
      </c>
      <c r="C42" s="379"/>
      <c r="D42" s="380"/>
      <c r="E42" s="380"/>
      <c r="F42" s="378">
        <f>SUM(F40:F41)</f>
        <v>32.98</v>
      </c>
      <c r="G42" s="324"/>
    </row>
    <row r="43" spans="2:7" s="141" customFormat="1" ht="6.75" customHeight="1">
      <c r="B43" s="332"/>
      <c r="C43" s="333"/>
      <c r="D43" s="334"/>
      <c r="E43" s="334"/>
      <c r="F43" s="335"/>
      <c r="G43" s="328"/>
    </row>
    <row r="44" spans="2:7" s="141" customFormat="1" ht="12">
      <c r="B44" s="324" t="s">
        <v>249</v>
      </c>
      <c r="C44" s="325" t="s">
        <v>242</v>
      </c>
      <c r="D44" s="326" t="s">
        <v>299</v>
      </c>
      <c r="E44" s="326" t="s">
        <v>1865</v>
      </c>
      <c r="F44" s="331">
        <v>92.77</v>
      </c>
      <c r="G44" s="328"/>
    </row>
    <row r="45" spans="2:31" s="141" customFormat="1" ht="12">
      <c r="B45" s="316" t="s">
        <v>249</v>
      </c>
      <c r="C45" s="317" t="s">
        <v>674</v>
      </c>
      <c r="D45" s="318" t="s">
        <v>1785</v>
      </c>
      <c r="E45" s="318" t="s">
        <v>1864</v>
      </c>
      <c r="F45" s="322">
        <v>10.3</v>
      </c>
      <c r="G45" s="328"/>
      <c r="AC45" s="145"/>
      <c r="AD45" s="145"/>
      <c r="AE45" s="145"/>
    </row>
    <row r="46" spans="2:31" s="141" customFormat="1" ht="12">
      <c r="B46" s="324" t="s">
        <v>249</v>
      </c>
      <c r="C46" s="325" t="s">
        <v>559</v>
      </c>
      <c r="D46" s="326" t="s">
        <v>1786</v>
      </c>
      <c r="E46" s="326" t="s">
        <v>1866</v>
      </c>
      <c r="F46" s="331">
        <v>19.15</v>
      </c>
      <c r="G46" s="328"/>
      <c r="AC46" s="145"/>
      <c r="AD46" s="145"/>
      <c r="AE46" s="145"/>
    </row>
    <row r="47" spans="2:7" s="141" customFormat="1" ht="12">
      <c r="B47" s="316" t="s">
        <v>249</v>
      </c>
      <c r="C47" s="317" t="s">
        <v>560</v>
      </c>
      <c r="D47" s="318" t="s">
        <v>561</v>
      </c>
      <c r="E47" s="318" t="s">
        <v>1867</v>
      </c>
      <c r="F47" s="322">
        <v>5.64</v>
      </c>
      <c r="G47" s="328"/>
    </row>
    <row r="48" spans="2:7" s="141" customFormat="1" ht="18" customHeight="1">
      <c r="B48" s="375" t="s">
        <v>249</v>
      </c>
      <c r="C48" s="379"/>
      <c r="D48" s="380"/>
      <c r="E48" s="380"/>
      <c r="F48" s="378">
        <f>SUM(F44:F47)</f>
        <v>127.86</v>
      </c>
      <c r="G48" s="328"/>
    </row>
    <row r="49" spans="2:7" s="141" customFormat="1" ht="6.75" customHeight="1">
      <c r="B49" s="336"/>
      <c r="C49" s="333"/>
      <c r="D49" s="334"/>
      <c r="E49" s="334"/>
      <c r="F49" s="337"/>
      <c r="G49" s="328"/>
    </row>
    <row r="50" spans="1:7" s="141" customFormat="1" ht="12" customHeight="1">
      <c r="A50" s="143"/>
      <c r="B50" s="324" t="s">
        <v>250</v>
      </c>
      <c r="C50" s="325" t="s">
        <v>562</v>
      </c>
      <c r="D50" s="326" t="s">
        <v>563</v>
      </c>
      <c r="E50" s="326" t="s">
        <v>1874</v>
      </c>
      <c r="F50" s="331">
        <v>52.73</v>
      </c>
      <c r="G50" s="328"/>
    </row>
    <row r="51" spans="1:7" s="166" customFormat="1" ht="12" customHeight="1">
      <c r="A51" s="183"/>
      <c r="B51" s="316" t="s">
        <v>250</v>
      </c>
      <c r="C51" s="317" t="s">
        <v>1049</v>
      </c>
      <c r="D51" s="318" t="s">
        <v>1787</v>
      </c>
      <c r="E51" s="318" t="s">
        <v>1873</v>
      </c>
      <c r="F51" s="322">
        <v>23.19</v>
      </c>
      <c r="G51" s="338"/>
    </row>
    <row r="52" spans="1:7" s="141" customFormat="1" ht="12" customHeight="1">
      <c r="A52" s="143"/>
      <c r="B52" s="324" t="s">
        <v>250</v>
      </c>
      <c r="C52" s="325" t="s">
        <v>564</v>
      </c>
      <c r="D52" s="326" t="s">
        <v>287</v>
      </c>
      <c r="E52" s="326" t="s">
        <v>1875</v>
      </c>
      <c r="F52" s="331">
        <v>14.05</v>
      </c>
      <c r="G52" s="328"/>
    </row>
    <row r="53" spans="2:7" s="141" customFormat="1" ht="18" customHeight="1">
      <c r="B53" s="375" t="s">
        <v>250</v>
      </c>
      <c r="C53" s="379"/>
      <c r="D53" s="380"/>
      <c r="E53" s="380"/>
      <c r="F53" s="378">
        <f>SUM(F50:F52)</f>
        <v>89.97</v>
      </c>
      <c r="G53" s="328"/>
    </row>
    <row r="54" spans="2:7" s="141" customFormat="1" ht="6.75" customHeight="1">
      <c r="B54" s="324"/>
      <c r="C54" s="325"/>
      <c r="D54" s="324"/>
      <c r="E54" s="324"/>
      <c r="F54" s="339"/>
      <c r="G54" s="328"/>
    </row>
    <row r="55" spans="1:7" s="141" customFormat="1" ht="12">
      <c r="A55" s="370"/>
      <c r="B55" s="371" t="s">
        <v>285</v>
      </c>
      <c r="C55" s="372"/>
      <c r="D55" s="373"/>
      <c r="E55" s="373"/>
      <c r="F55" s="369">
        <f>F53+F48+F42+F38</f>
        <v>393.53</v>
      </c>
      <c r="G55" s="328"/>
    </row>
    <row r="56" spans="1:7" s="141" customFormat="1" ht="6.75" customHeight="1">
      <c r="A56" s="143"/>
      <c r="B56" s="340"/>
      <c r="C56" s="341"/>
      <c r="D56" s="340"/>
      <c r="E56" s="340"/>
      <c r="F56" s="342"/>
      <c r="G56" s="328"/>
    </row>
    <row r="57" spans="1:7" s="141" customFormat="1" ht="12">
      <c r="A57" s="144" t="s">
        <v>1789</v>
      </c>
      <c r="B57" s="332"/>
      <c r="C57" s="333"/>
      <c r="D57" s="332"/>
      <c r="E57" s="332"/>
      <c r="F57" s="343"/>
      <c r="G57" s="328"/>
    </row>
    <row r="58" spans="2:7" s="141" customFormat="1" ht="6.75" customHeight="1">
      <c r="B58" s="332"/>
      <c r="C58" s="333"/>
      <c r="D58" s="334"/>
      <c r="E58" s="334"/>
      <c r="F58" s="335"/>
      <c r="G58" s="328"/>
    </row>
    <row r="59" spans="2:7" s="141" customFormat="1" ht="12">
      <c r="B59" s="324" t="s">
        <v>247</v>
      </c>
      <c r="C59" s="325" t="s">
        <v>244</v>
      </c>
      <c r="D59" s="326" t="s">
        <v>556</v>
      </c>
      <c r="E59" s="326" t="s">
        <v>1853</v>
      </c>
      <c r="F59" s="331">
        <v>1.05</v>
      </c>
      <c r="G59" s="324"/>
    </row>
    <row r="60" spans="2:7" s="141" customFormat="1" ht="18" customHeight="1">
      <c r="B60" s="375" t="s">
        <v>247</v>
      </c>
      <c r="C60" s="379"/>
      <c r="D60" s="380"/>
      <c r="E60" s="380"/>
      <c r="F60" s="378">
        <f>SUM(F59:F59)</f>
        <v>1.05</v>
      </c>
      <c r="G60" s="324"/>
    </row>
    <row r="61" spans="2:7" s="141" customFormat="1" ht="6.75" customHeight="1">
      <c r="B61" s="332"/>
      <c r="C61" s="333"/>
      <c r="D61" s="334"/>
      <c r="E61" s="334"/>
      <c r="F61" s="335"/>
      <c r="G61" s="328"/>
    </row>
    <row r="62" spans="2:7" s="141" customFormat="1" ht="12">
      <c r="B62" s="324" t="s">
        <v>248</v>
      </c>
      <c r="C62" s="325" t="s">
        <v>263</v>
      </c>
      <c r="D62" s="326" t="s">
        <v>264</v>
      </c>
      <c r="E62" s="326" t="s">
        <v>1857</v>
      </c>
      <c r="F62" s="331">
        <v>0.53</v>
      </c>
      <c r="G62" s="328"/>
    </row>
    <row r="63" spans="2:7" s="141" customFormat="1" ht="12">
      <c r="B63" s="316" t="s">
        <v>248</v>
      </c>
      <c r="C63" s="317" t="s">
        <v>554</v>
      </c>
      <c r="D63" s="318" t="s">
        <v>283</v>
      </c>
      <c r="E63" s="318" t="s">
        <v>1858</v>
      </c>
      <c r="F63" s="322">
        <v>0.29</v>
      </c>
      <c r="G63" s="328"/>
    </row>
    <row r="64" spans="2:7" s="146" customFormat="1" ht="12">
      <c r="B64" s="324" t="s">
        <v>248</v>
      </c>
      <c r="C64" s="325" t="s">
        <v>554</v>
      </c>
      <c r="D64" s="324" t="s">
        <v>283</v>
      </c>
      <c r="E64" s="324" t="s">
        <v>1859</v>
      </c>
      <c r="F64" s="324">
        <v>1.7</v>
      </c>
      <c r="G64" s="324"/>
    </row>
    <row r="65" spans="2:7" s="146" customFormat="1" ht="12">
      <c r="B65" s="316" t="s">
        <v>248</v>
      </c>
      <c r="C65" s="317" t="s">
        <v>554</v>
      </c>
      <c r="D65" s="316" t="s">
        <v>283</v>
      </c>
      <c r="E65" s="316" t="s">
        <v>1860</v>
      </c>
      <c r="F65" s="323">
        <v>0.46</v>
      </c>
      <c r="G65" s="324"/>
    </row>
    <row r="66" spans="2:7" s="146" customFormat="1" ht="12">
      <c r="B66" s="324" t="s">
        <v>248</v>
      </c>
      <c r="C66" s="325" t="s">
        <v>555</v>
      </c>
      <c r="D66" s="324" t="s">
        <v>283</v>
      </c>
      <c r="E66" s="324" t="s">
        <v>1861</v>
      </c>
      <c r="F66" s="344">
        <v>1.59</v>
      </c>
      <c r="G66" s="324"/>
    </row>
    <row r="67" spans="2:7" s="146" customFormat="1" ht="12">
      <c r="B67" s="316" t="s">
        <v>248</v>
      </c>
      <c r="C67" s="317" t="s">
        <v>555</v>
      </c>
      <c r="D67" s="316" t="s">
        <v>283</v>
      </c>
      <c r="E67" s="316" t="s">
        <v>1862</v>
      </c>
      <c r="F67" s="323">
        <v>2.99</v>
      </c>
      <c r="G67" s="324"/>
    </row>
    <row r="68" spans="2:7" s="141" customFormat="1" ht="6.75" customHeight="1">
      <c r="B68" s="324"/>
      <c r="C68" s="325"/>
      <c r="D68" s="326"/>
      <c r="E68" s="334"/>
      <c r="F68" s="335"/>
      <c r="G68" s="328"/>
    </row>
    <row r="69" spans="2:7" s="141" customFormat="1" ht="18" customHeight="1">
      <c r="B69" s="375" t="s">
        <v>248</v>
      </c>
      <c r="C69" s="379"/>
      <c r="D69" s="380"/>
      <c r="E69" s="381"/>
      <c r="F69" s="378">
        <f>SUM(F62:F68)</f>
        <v>7.5600000000000005</v>
      </c>
      <c r="G69" s="328"/>
    </row>
    <row r="70" spans="2:7" s="141" customFormat="1" ht="6.75" customHeight="1">
      <c r="B70" s="332"/>
      <c r="C70" s="333"/>
      <c r="D70" s="334"/>
      <c r="E70" s="334"/>
      <c r="F70" s="335"/>
      <c r="G70" s="328"/>
    </row>
    <row r="71" spans="1:7" s="141" customFormat="1" ht="12">
      <c r="A71" s="146"/>
      <c r="B71" s="324" t="s">
        <v>249</v>
      </c>
      <c r="C71" s="325" t="s">
        <v>265</v>
      </c>
      <c r="D71" s="326" t="s">
        <v>266</v>
      </c>
      <c r="E71" s="326" t="s">
        <v>1868</v>
      </c>
      <c r="F71" s="331">
        <v>8.07</v>
      </c>
      <c r="G71" s="328"/>
    </row>
    <row r="72" spans="1:7" s="141" customFormat="1" ht="12">
      <c r="A72" s="146"/>
      <c r="B72" s="316" t="s">
        <v>249</v>
      </c>
      <c r="C72" s="317" t="s">
        <v>245</v>
      </c>
      <c r="D72" s="318" t="s">
        <v>558</v>
      </c>
      <c r="E72" s="318" t="s">
        <v>1869</v>
      </c>
      <c r="F72" s="322">
        <v>1.64</v>
      </c>
      <c r="G72" s="328"/>
    </row>
    <row r="73" spans="1:7" s="141" customFormat="1" ht="12">
      <c r="A73" s="146"/>
      <c r="B73" s="324" t="s">
        <v>249</v>
      </c>
      <c r="C73" s="325" t="s">
        <v>267</v>
      </c>
      <c r="D73" s="326" t="s">
        <v>558</v>
      </c>
      <c r="E73" s="326" t="s">
        <v>1870</v>
      </c>
      <c r="F73" s="331">
        <v>0.94</v>
      </c>
      <c r="G73" s="328"/>
    </row>
    <row r="74" spans="1:7" s="141" customFormat="1" ht="18" customHeight="1">
      <c r="A74" s="146"/>
      <c r="B74" s="375" t="s">
        <v>249</v>
      </c>
      <c r="C74" s="379"/>
      <c r="D74" s="380"/>
      <c r="E74" s="380"/>
      <c r="F74" s="378">
        <f>SUM(F71:F73)</f>
        <v>10.65</v>
      </c>
      <c r="G74" s="328"/>
    </row>
    <row r="75" spans="1:7" s="141" customFormat="1" ht="6.75" customHeight="1">
      <c r="A75" s="146"/>
      <c r="B75" s="324"/>
      <c r="C75" s="325"/>
      <c r="D75" s="326"/>
      <c r="E75" s="326"/>
      <c r="F75" s="331"/>
      <c r="G75" s="328"/>
    </row>
    <row r="76" spans="1:7" s="141" customFormat="1" ht="6.75" customHeight="1">
      <c r="A76" s="146"/>
      <c r="B76" s="324"/>
      <c r="C76" s="325"/>
      <c r="D76" s="326"/>
      <c r="E76" s="326"/>
      <c r="F76" s="331"/>
      <c r="G76" s="328"/>
    </row>
    <row r="77" spans="1:7" s="141" customFormat="1" ht="15">
      <c r="A77" s="138" t="s">
        <v>1788</v>
      </c>
      <c r="B77" s="332"/>
      <c r="C77" s="333"/>
      <c r="D77" s="332"/>
      <c r="E77" s="332"/>
      <c r="F77" s="343"/>
      <c r="G77" s="328"/>
    </row>
    <row r="78" spans="1:7" s="141" customFormat="1" ht="15">
      <c r="A78" s="138" t="s">
        <v>1837</v>
      </c>
      <c r="B78" s="332"/>
      <c r="C78" s="333"/>
      <c r="D78" s="332"/>
      <c r="E78" s="332"/>
      <c r="F78" s="343"/>
      <c r="G78" s="328"/>
    </row>
    <row r="79" spans="1:7" s="141" customFormat="1" ht="15">
      <c r="A79" s="138"/>
      <c r="B79" s="332"/>
      <c r="C79" s="333"/>
      <c r="D79" s="332"/>
      <c r="E79" s="332"/>
      <c r="F79" s="343"/>
      <c r="G79" s="328"/>
    </row>
    <row r="80" spans="1:7" s="141" customFormat="1" ht="18" customHeight="1">
      <c r="A80" s="353"/>
      <c r="B80" s="353" t="s">
        <v>274</v>
      </c>
      <c r="C80" s="354" t="s">
        <v>275</v>
      </c>
      <c r="D80" s="353" t="s">
        <v>273</v>
      </c>
      <c r="E80" s="353" t="s">
        <v>276</v>
      </c>
      <c r="F80" s="355" t="s">
        <v>277</v>
      </c>
      <c r="G80" s="328"/>
    </row>
    <row r="81" spans="1:7" s="141" customFormat="1" ht="6" customHeight="1">
      <c r="A81" s="143"/>
      <c r="B81" s="340"/>
      <c r="C81" s="341"/>
      <c r="D81" s="340"/>
      <c r="E81" s="340"/>
      <c r="F81" s="342"/>
      <c r="G81" s="328"/>
    </row>
    <row r="82" spans="1:7" s="141" customFormat="1" ht="12">
      <c r="A82" s="328"/>
      <c r="B82" s="324" t="s">
        <v>250</v>
      </c>
      <c r="C82" s="325" t="s">
        <v>245</v>
      </c>
      <c r="D82" s="326" t="s">
        <v>411</v>
      </c>
      <c r="E82" s="326" t="s">
        <v>1877</v>
      </c>
      <c r="F82" s="331">
        <v>18.22</v>
      </c>
      <c r="G82" s="455"/>
    </row>
    <row r="83" spans="1:7" s="141" customFormat="1" ht="12">
      <c r="A83" s="328"/>
      <c r="B83" s="316" t="s">
        <v>250</v>
      </c>
      <c r="C83" s="317" t="s">
        <v>245</v>
      </c>
      <c r="D83" s="318" t="s">
        <v>411</v>
      </c>
      <c r="E83" s="318" t="s">
        <v>1876</v>
      </c>
      <c r="F83" s="322">
        <v>1.12</v>
      </c>
      <c r="G83" s="455"/>
    </row>
    <row r="84" spans="1:7" s="141" customFormat="1" ht="12">
      <c r="A84" s="328"/>
      <c r="B84" s="324" t="s">
        <v>250</v>
      </c>
      <c r="C84" s="325" t="s">
        <v>244</v>
      </c>
      <c r="D84" s="326" t="s">
        <v>268</v>
      </c>
      <c r="E84" s="326" t="s">
        <v>1878</v>
      </c>
      <c r="F84" s="331">
        <v>3.93</v>
      </c>
      <c r="G84" s="328"/>
    </row>
    <row r="85" spans="1:7" s="141" customFormat="1" ht="12">
      <c r="A85" s="328"/>
      <c r="B85" s="316" t="s">
        <v>250</v>
      </c>
      <c r="C85" s="317" t="s">
        <v>244</v>
      </c>
      <c r="D85" s="318" t="s">
        <v>268</v>
      </c>
      <c r="E85" s="318" t="s">
        <v>1879</v>
      </c>
      <c r="F85" s="322">
        <v>0.98</v>
      </c>
      <c r="G85" s="328"/>
    </row>
    <row r="86" spans="2:9" s="141" customFormat="1" ht="12">
      <c r="B86" s="324" t="s">
        <v>250</v>
      </c>
      <c r="C86" s="325" t="s">
        <v>1880</v>
      </c>
      <c r="D86" s="326" t="s">
        <v>284</v>
      </c>
      <c r="E86" s="326" t="s">
        <v>1881</v>
      </c>
      <c r="F86" s="331">
        <v>0.38</v>
      </c>
      <c r="G86" s="345"/>
      <c r="H86" s="313"/>
      <c r="I86" s="313"/>
    </row>
    <row r="87" spans="2:7" s="141" customFormat="1" ht="12">
      <c r="B87" s="316" t="s">
        <v>250</v>
      </c>
      <c r="C87" s="317" t="s">
        <v>564</v>
      </c>
      <c r="D87" s="318" t="s">
        <v>287</v>
      </c>
      <c r="E87" s="318" t="s">
        <v>1882</v>
      </c>
      <c r="F87" s="322">
        <v>3.26</v>
      </c>
      <c r="G87" s="328"/>
    </row>
    <row r="88" spans="2:7" s="141" customFormat="1" ht="18" customHeight="1">
      <c r="B88" s="375" t="s">
        <v>250</v>
      </c>
      <c r="C88" s="379"/>
      <c r="D88" s="381"/>
      <c r="E88" s="381"/>
      <c r="F88" s="378">
        <f>SUM(F82:F87)</f>
        <v>27.89</v>
      </c>
      <c r="G88" s="345"/>
    </row>
    <row r="89" spans="2:7" s="141" customFormat="1" ht="6.75" customHeight="1">
      <c r="B89" s="336"/>
      <c r="C89" s="333"/>
      <c r="D89" s="334"/>
      <c r="E89" s="334"/>
      <c r="F89" s="337"/>
      <c r="G89" s="328"/>
    </row>
    <row r="90" spans="1:7" s="141" customFormat="1" ht="18" customHeight="1">
      <c r="A90" s="367"/>
      <c r="B90" s="368" t="s">
        <v>1790</v>
      </c>
      <c r="C90" s="374"/>
      <c r="D90" s="373"/>
      <c r="E90" s="373"/>
      <c r="F90" s="369">
        <f>F88+F74+F69+F60</f>
        <v>47.15</v>
      </c>
      <c r="G90" s="328"/>
    </row>
    <row r="91" spans="2:7" s="141" customFormat="1" ht="6.75" customHeight="1">
      <c r="B91" s="332"/>
      <c r="C91" s="333"/>
      <c r="D91" s="334"/>
      <c r="E91" s="334"/>
      <c r="F91" s="335"/>
      <c r="G91" s="328"/>
    </row>
    <row r="92" spans="1:7" s="141" customFormat="1" ht="12">
      <c r="A92" s="144" t="s">
        <v>288</v>
      </c>
      <c r="B92" s="332"/>
      <c r="C92" s="333"/>
      <c r="D92" s="334"/>
      <c r="E92" s="334"/>
      <c r="F92" s="335"/>
      <c r="G92" s="328"/>
    </row>
    <row r="93" spans="2:7" s="141" customFormat="1" ht="6.75" customHeight="1">
      <c r="B93" s="332"/>
      <c r="C93" s="333"/>
      <c r="D93" s="334"/>
      <c r="E93" s="334"/>
      <c r="F93" s="335"/>
      <c r="G93" s="328"/>
    </row>
    <row r="94" spans="1:10" s="141" customFormat="1" ht="12">
      <c r="A94" s="356" t="s">
        <v>262</v>
      </c>
      <c r="B94" s="357"/>
      <c r="C94" s="358"/>
      <c r="D94" s="359"/>
      <c r="E94" s="357"/>
      <c r="F94" s="357"/>
      <c r="G94" s="328"/>
      <c r="I94" s="145"/>
      <c r="J94" s="145"/>
    </row>
    <row r="95" spans="1:10" s="141" customFormat="1" ht="12">
      <c r="A95" s="360"/>
      <c r="B95" s="361" t="s">
        <v>289</v>
      </c>
      <c r="C95" s="358"/>
      <c r="D95" s="359"/>
      <c r="E95" s="357"/>
      <c r="F95" s="361">
        <f>F10+F38+F60</f>
        <v>262.7</v>
      </c>
      <c r="G95" s="328"/>
      <c r="I95" s="145"/>
      <c r="J95" s="145"/>
    </row>
    <row r="96" spans="1:10" s="141" customFormat="1" ht="12">
      <c r="A96" s="360"/>
      <c r="B96" s="361" t="s">
        <v>248</v>
      </c>
      <c r="C96" s="358"/>
      <c r="D96" s="359"/>
      <c r="E96" s="357"/>
      <c r="F96" s="361">
        <f>F13+F42+F69</f>
        <v>133.16</v>
      </c>
      <c r="G96" s="328"/>
      <c r="I96" s="145"/>
      <c r="J96" s="145"/>
    </row>
    <row r="97" spans="1:10" s="141" customFormat="1" ht="12">
      <c r="A97" s="360"/>
      <c r="B97" s="361" t="s">
        <v>290</v>
      </c>
      <c r="C97" s="358"/>
      <c r="D97" s="359"/>
      <c r="E97" s="357"/>
      <c r="F97" s="361">
        <f>F16+F48+F74</f>
        <v>198.98</v>
      </c>
      <c r="G97" s="328"/>
      <c r="I97" s="145"/>
      <c r="J97" s="145"/>
    </row>
    <row r="98" spans="1:10" s="141" customFormat="1" ht="12">
      <c r="A98" s="360"/>
      <c r="B98" s="361" t="s">
        <v>291</v>
      </c>
      <c r="C98" s="358"/>
      <c r="D98" s="359"/>
      <c r="E98" s="357"/>
      <c r="F98" s="361">
        <f>F20+F53+F88</f>
        <v>308.99</v>
      </c>
      <c r="G98" s="328"/>
      <c r="I98" s="145"/>
      <c r="J98" s="145"/>
    </row>
    <row r="99" spans="1:10" s="141" customFormat="1" ht="18" customHeight="1">
      <c r="A99" s="362"/>
      <c r="B99" s="363" t="s">
        <v>253</v>
      </c>
      <c r="C99" s="364"/>
      <c r="D99" s="365"/>
      <c r="E99" s="366"/>
      <c r="F99" s="363">
        <f>SUM(F95:F98)</f>
        <v>903.83</v>
      </c>
      <c r="G99" s="328"/>
      <c r="I99" s="145"/>
      <c r="J99" s="145"/>
    </row>
    <row r="100" spans="1:10" ht="6.75" customHeight="1">
      <c r="A100" s="147"/>
      <c r="B100" s="346"/>
      <c r="C100" s="347"/>
      <c r="D100" s="346"/>
      <c r="E100" s="348"/>
      <c r="F100" s="349"/>
      <c r="G100" s="328"/>
      <c r="H100" s="141"/>
      <c r="I100" s="239"/>
      <c r="J100" s="239"/>
    </row>
    <row r="101" spans="1:10" ht="12.75">
      <c r="A101" s="188" t="s">
        <v>1782</v>
      </c>
      <c r="B101" s="350"/>
      <c r="C101" s="351"/>
      <c r="D101" s="352"/>
      <c r="E101" s="328"/>
      <c r="F101" s="328"/>
      <c r="G101" s="328"/>
      <c r="H101" s="141"/>
      <c r="I101" s="239"/>
      <c r="J101" s="239"/>
    </row>
    <row r="102" spans="1:10" ht="12.75">
      <c r="A102" s="141" t="s">
        <v>286</v>
      </c>
      <c r="B102" s="352"/>
      <c r="C102" s="351"/>
      <c r="D102" s="352"/>
      <c r="E102" s="328"/>
      <c r="F102" s="328"/>
      <c r="G102" s="328"/>
      <c r="H102" s="141"/>
      <c r="I102" s="239"/>
      <c r="J102" s="239"/>
    </row>
    <row r="103" spans="5:10" ht="12.75">
      <c r="E103" s="239"/>
      <c r="F103" s="240"/>
      <c r="G103" s="239"/>
      <c r="H103" s="239"/>
      <c r="I103" s="239"/>
      <c r="J103" s="239"/>
    </row>
    <row r="104" ht="12.75">
      <c r="F104" s="148"/>
    </row>
    <row r="105" ht="12.75">
      <c r="F105" s="148"/>
    </row>
    <row r="106" ht="12.75">
      <c r="F106" s="148"/>
    </row>
    <row r="107" ht="12.75">
      <c r="F107" s="148"/>
    </row>
    <row r="108" ht="12.75">
      <c r="F108" s="148"/>
    </row>
    <row r="109" ht="12.75">
      <c r="F109" s="148"/>
    </row>
    <row r="110" ht="12.75">
      <c r="F110" s="148"/>
    </row>
    <row r="111" ht="12.75">
      <c r="F111" s="148"/>
    </row>
    <row r="112" ht="12.75">
      <c r="F112" s="148"/>
    </row>
    <row r="113" ht="12.75">
      <c r="F113" s="148"/>
    </row>
    <row r="114" ht="12.75">
      <c r="F114" s="148"/>
    </row>
    <row r="115" ht="12.75">
      <c r="F115" s="148"/>
    </row>
    <row r="116" ht="12.75">
      <c r="F116" s="148"/>
    </row>
    <row r="117" ht="12.75">
      <c r="F117" s="148"/>
    </row>
    <row r="118" ht="12.75">
      <c r="F118" s="148"/>
    </row>
    <row r="119" ht="12.75">
      <c r="F119" s="148"/>
    </row>
    <row r="120" ht="12.75">
      <c r="F120" s="148"/>
    </row>
    <row r="121" ht="12.75">
      <c r="F121" s="148"/>
    </row>
    <row r="122" ht="12.75">
      <c r="F122" s="148"/>
    </row>
    <row r="123" ht="12.75">
      <c r="F123" s="148"/>
    </row>
    <row r="124" ht="12.75">
      <c r="F124" s="148"/>
    </row>
    <row r="125" ht="12.75">
      <c r="F125" s="148"/>
    </row>
    <row r="126" ht="12.75">
      <c r="F126" s="148"/>
    </row>
    <row r="127" ht="12.75">
      <c r="F127" s="148"/>
    </row>
    <row r="128" ht="12.75">
      <c r="F128" s="148"/>
    </row>
    <row r="129" ht="12.75">
      <c r="F129" s="148"/>
    </row>
    <row r="130" ht="12.75">
      <c r="F130" s="148"/>
    </row>
    <row r="131" ht="12.75">
      <c r="F131" s="148"/>
    </row>
    <row r="132" ht="12.75">
      <c r="F132" s="148"/>
    </row>
    <row r="133" ht="12.75">
      <c r="F133" s="148"/>
    </row>
    <row r="134" ht="12.75">
      <c r="F134" s="148"/>
    </row>
    <row r="135" ht="12.75">
      <c r="F135" s="148"/>
    </row>
    <row r="136" ht="12.75">
      <c r="F136" s="148"/>
    </row>
    <row r="137" ht="12.75">
      <c r="F137" s="148"/>
    </row>
    <row r="138" ht="12.75">
      <c r="F138" s="148"/>
    </row>
    <row r="139" ht="12.75">
      <c r="F139" s="148"/>
    </row>
    <row r="140" ht="12.75">
      <c r="F140" s="148"/>
    </row>
    <row r="141" ht="12.75">
      <c r="F141" s="148"/>
    </row>
    <row r="142" ht="12.75">
      <c r="F142" s="148"/>
    </row>
    <row r="143" ht="12.75">
      <c r="F143" s="148"/>
    </row>
    <row r="144" ht="12.75">
      <c r="F144" s="148"/>
    </row>
    <row r="145" ht="12.75">
      <c r="F145" s="148"/>
    </row>
    <row r="146" ht="12.75">
      <c r="F146" s="148"/>
    </row>
    <row r="147" ht="12.75">
      <c r="F147" s="148"/>
    </row>
    <row r="148" ht="12.75">
      <c r="F148" s="148"/>
    </row>
    <row r="813" spans="3:4" ht="12.75">
      <c r="C813" s="251"/>
      <c r="D813" s="252"/>
    </row>
  </sheetData>
  <sheetProtection/>
  <mergeCells count="1">
    <mergeCell ref="G82:G83"/>
  </mergeCells>
  <printOptions/>
  <pageMargins left="0.5905511811023623" right="0.3937007874015748" top="0.5511811023622047" bottom="0.984251968503937" header="0" footer="0"/>
  <pageSetup horizontalDpi="600" verticalDpi="600" orientation="portrait" paperSize="9" scale="73" r:id="rId2"/>
  <rowBreaks count="1" manualBreakCount="1">
    <brk id="7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 DPTOP 2005. Xarxa de carreteres</dc:title>
  <dc:subject>Indicadors de la xarxa de carreteres de Catalunya: per demarcacions territorials, per tipus de via i amplada, per tipus de paviment, segons titularitat.</dc:subject>
  <dc:creator>Generalitat de Catalunya. Departament de Política Territorial i Obres Públiques</dc:creator>
  <cp:keywords>xarxa; carreteres; via; amplada; catàleg; paviment; titularitat; calçada; autovies; autopistes; doble calçada; calçada única.</cp:keywords>
  <dc:description/>
  <cp:lastModifiedBy>Castillo Salvo, Maria Isabel</cp:lastModifiedBy>
  <cp:lastPrinted>2018-04-16T12:53:01Z</cp:lastPrinted>
  <dcterms:created xsi:type="dcterms:W3CDTF">1999-10-14T11:22:17Z</dcterms:created>
  <dcterms:modified xsi:type="dcterms:W3CDTF">2018-04-16T12:54:06Z</dcterms:modified>
  <cp:category/>
  <cp:version/>
  <cp:contentType/>
  <cp:contentStatus/>
</cp:coreProperties>
</file>