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53" activeTab="0"/>
  </bookViews>
  <sheets>
    <sheet name="índex 5.2" sheetId="1" r:id="rId1"/>
    <sheet name="5.2.1" sheetId="2" r:id="rId2"/>
    <sheet name="5.2.2" sheetId="3" r:id="rId3"/>
    <sheet name="5.2.3" sheetId="4" r:id="rId4"/>
    <sheet name="5.2.4" sheetId="5" r:id="rId5"/>
    <sheet name="5.2.5" sheetId="6" r:id="rId6"/>
    <sheet name="5.2.6" sheetId="7" r:id="rId7"/>
    <sheet name="5.2.8" sheetId="8" r:id="rId8"/>
    <sheet name="5.2.9 " sheetId="9" r:id="rId9"/>
    <sheet name="5.2.10" sheetId="10" r:id="rId10"/>
    <sheet name="5.2.11 " sheetId="11" r:id="rId11"/>
    <sheet name="5.2.12" sheetId="12" r:id="rId12"/>
    <sheet name="5.2.13" sheetId="13" r:id="rId13"/>
    <sheet name="5.2.14" sheetId="14" r:id="rId14"/>
    <sheet name="5.2.15" sheetId="15" r:id="rId15"/>
    <sheet name="5.2.16 " sheetId="16" r:id="rId16"/>
    <sheet name="5.2.17" sheetId="17" r:id="rId17"/>
    <sheet name="5.2.18" sheetId="18" r:id="rId18"/>
    <sheet name="5.2.19" sheetId="19" r:id="rId19"/>
    <sheet name="5.2.20" sheetId="20" r:id="rId20"/>
    <sheet name="Full1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A_impresión_IM" localSheetId="15">'5.2.16 '!$A$1:$C$345</definedName>
    <definedName name="A_impresión_IM">#REF!</definedName>
    <definedName name="_xlnm.Print_Area" localSheetId="1">'5.2.1'!$A$1:$G$222</definedName>
    <definedName name="_xlnm.Print_Area" localSheetId="9">'5.2.10'!$A$1:$F$23</definedName>
    <definedName name="_xlnm.Print_Area" localSheetId="10">'5.2.11 '!$A$1:$F$23</definedName>
    <definedName name="_xlnm.Print_Area" localSheetId="11">'5.2.12'!$A$1:$F$23</definedName>
    <definedName name="_xlnm.Print_Area" localSheetId="12">'5.2.13'!$A$1:$F$23</definedName>
    <definedName name="_xlnm.Print_Area" localSheetId="13">'5.2.14'!$A$1:$F$23</definedName>
    <definedName name="_xlnm.Print_Area" localSheetId="14">'5.2.15'!$A$1:$L$71</definedName>
    <definedName name="_xlnm.Print_Area" localSheetId="15">'5.2.16 '!$A$1:$M$318</definedName>
    <definedName name="_xlnm.Print_Area" localSheetId="16">'5.2.17'!$A$1:$O$59</definedName>
    <definedName name="_xlnm.Print_Area" localSheetId="17">'5.2.18'!$A$1:$Q$34</definedName>
    <definedName name="_xlnm.Print_Area" localSheetId="18">'5.2.19'!$A$1:$J$31</definedName>
    <definedName name="_xlnm.Print_Area" localSheetId="2">'5.2.2'!$A$1:$G$72</definedName>
    <definedName name="_xlnm.Print_Area" localSheetId="19">'5.2.20'!$A$1:$BL$47</definedName>
    <definedName name="_xlnm.Print_Area" localSheetId="3">'5.2.3'!$A$1:$F$956</definedName>
    <definedName name="_xlnm.Print_Area" localSheetId="4">'5.2.4'!$A$1:$AH$24</definedName>
    <definedName name="_xlnm.Print_Area" localSheetId="5">'5.2.5'!$A$1:$H$29</definedName>
    <definedName name="_xlnm.Print_Area" localSheetId="6">'5.2.6'!$A$1:$F$147</definedName>
    <definedName name="_xlnm.Print_Area" localSheetId="7">'5.2.8'!$A$1:$F$23</definedName>
    <definedName name="_xlnm.Print_Area" localSheetId="8">'5.2.9 '!$A$1:$F$23</definedName>
    <definedName name="_xlnm.Print_Area" localSheetId="0">'índex 5.2'!$A$1:$E$28</definedName>
    <definedName name="TABLE" localSheetId="2">'5.2.2'!#REF!</definedName>
    <definedName name="_xlnm.Print_Titles" localSheetId="15">'5.2.16 '!$1:$3</definedName>
    <definedName name="_xlnm.Print_Titles" localSheetId="3">'5.2.3'!$1:$4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<sst xmlns="http://schemas.openxmlformats.org/spreadsheetml/2006/main" count="2426" uniqueCount="1340">
  <si>
    <t>Rubí</t>
  </si>
  <si>
    <t>Rubió</t>
  </si>
  <si>
    <t>Rupià</t>
  </si>
  <si>
    <t>Rupit i Pruit</t>
  </si>
  <si>
    <t>Sabadell</t>
  </si>
  <si>
    <t>Sagàs</t>
  </si>
  <si>
    <t>Salàs de Pallars</t>
  </si>
  <si>
    <t>Saldes</t>
  </si>
  <si>
    <t>Sales de Llierca</t>
  </si>
  <si>
    <t>Sallent</t>
  </si>
  <si>
    <t>Salomó</t>
  </si>
  <si>
    <t>Salou</t>
  </si>
  <si>
    <t>Salt</t>
  </si>
  <si>
    <t>Sanaüja</t>
  </si>
  <si>
    <t>Sant Adrià de Besòs</t>
  </si>
  <si>
    <t>Sant Agustí de Lluçanès</t>
  </si>
  <si>
    <t>Sant Andreu de la Barca</t>
  </si>
  <si>
    <t>Sant Andreu de Llavaneres</t>
  </si>
  <si>
    <t>Sant Andreu Salou</t>
  </si>
  <si>
    <t>Sant Aniol de Finestres</t>
  </si>
  <si>
    <t>Sant Antoni de Vilamajor</t>
  </si>
  <si>
    <t>Sant Bartomeu del Grau</t>
  </si>
  <si>
    <t>Sant Boi de Llobregat</t>
  </si>
  <si>
    <t>Sant Boi de Lluçanès</t>
  </si>
  <si>
    <t>Sant Carles de la Ràpita</t>
  </si>
  <si>
    <t>Sant Cebrià de Vallalta</t>
  </si>
  <si>
    <t>Sant Celoni</t>
  </si>
  <si>
    <t>Sant Climent de Llobregat</t>
  </si>
  <si>
    <t>Sant Climent Sescebes</t>
  </si>
  <si>
    <t>Sant Cugat del Vallès</t>
  </si>
  <si>
    <t>Sant Cugat Sesgarrigues</t>
  </si>
  <si>
    <t>Sant Esteve de la Sarga</t>
  </si>
  <si>
    <t>Sant Esteve de Palautordera</t>
  </si>
  <si>
    <t>Sant Esteve Sesrovires</t>
  </si>
  <si>
    <t>Sant Feliu de Buixalleu</t>
  </si>
  <si>
    <t>Sant Feliu de Codines</t>
  </si>
  <si>
    <t>Sant Feliu de Guíxols</t>
  </si>
  <si>
    <t>Sant Feliu de Llobregat</t>
  </si>
  <si>
    <t>Sant Feliu de Pallerols</t>
  </si>
  <si>
    <t>Sant Feliu Sasserra</t>
  </si>
  <si>
    <t>Sant Ferriol</t>
  </si>
  <si>
    <t>Sant Fost de Campsentelles</t>
  </si>
  <si>
    <t>Sant Fruitós de Bages</t>
  </si>
  <si>
    <t>Sant Gregori</t>
  </si>
  <si>
    <t>Sant Guim de Freixenet</t>
  </si>
  <si>
    <t>Sant Guim de la Plana</t>
  </si>
  <si>
    <t>Sant Hilari Sacalm</t>
  </si>
  <si>
    <t>Sant Hipòlit de Voltregà</t>
  </si>
  <si>
    <t>Sant Iscle de Vallalta</t>
  </si>
  <si>
    <t>Sant Jaume d'Enveja</t>
  </si>
  <si>
    <t>Sant Jaume de Frontanyà</t>
  </si>
  <si>
    <t>Sant Jaume de Llierca</t>
  </si>
  <si>
    <t>Sant Jaume dels Domenys</t>
  </si>
  <si>
    <t>Sant Joan de les Abadesses</t>
  </si>
  <si>
    <t>Sant Joan de Mollet</t>
  </si>
  <si>
    <t>Sant Joan de Vilatorrada</t>
  </si>
  <si>
    <t>Sant Joan Despí</t>
  </si>
  <si>
    <t>Sant Joan les Fonts</t>
  </si>
  <si>
    <t>Sant Jordi Desvalls</t>
  </si>
  <si>
    <t>Sant Julià de Cerdanyola</t>
  </si>
  <si>
    <t>Sant Julià de Ramis</t>
  </si>
  <si>
    <t>Sant Julià de Vilatorta</t>
  </si>
  <si>
    <t>Sant Julià del Llor i Bonmatí</t>
  </si>
  <si>
    <t>Sant Just Desvern</t>
  </si>
  <si>
    <t>Sant Llorenç d'Hortons</t>
  </si>
  <si>
    <t>Sant Llorenç de la Muga</t>
  </si>
  <si>
    <t>Sant Llorenç de Morunys</t>
  </si>
  <si>
    <t>Sant Llorenç Savall</t>
  </si>
  <si>
    <t>Sant Martí d'Albars</t>
  </si>
  <si>
    <t>Sant Martí de Centelles</t>
  </si>
  <si>
    <t>Sant Martí de Llémena</t>
  </si>
  <si>
    <t>Sant Martí de Riucorb</t>
  </si>
  <si>
    <t>Sant Martí de Tous</t>
  </si>
  <si>
    <t>Sant Martí Sarroca</t>
  </si>
  <si>
    <t>Sant Martí Sesgueioles</t>
  </si>
  <si>
    <t>Sant Martí Vell</t>
  </si>
  <si>
    <t>Sant Mateu de Bages</t>
  </si>
  <si>
    <t>Sant Miquel de Campmajor</t>
  </si>
  <si>
    <t>Sant Miquel de Fluvià</t>
  </si>
  <si>
    <t>Sant Mori</t>
  </si>
  <si>
    <t>Sant Pau de Segúries</t>
  </si>
  <si>
    <t>Sant Pere de Ribes</t>
  </si>
  <si>
    <t>Sant Pere de Riudebitlles</t>
  </si>
  <si>
    <t>Sant Pere de Torelló</t>
  </si>
  <si>
    <t>Sant Pere de Vilamajor</t>
  </si>
  <si>
    <t>Sant Pere Pescador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</si>
  <si>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</si>
  <si>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</si>
  <si>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</si>
  <si>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</si>
  <si>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</si>
  <si>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</si>
  <si>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Ramon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</si>
  <si>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</si>
  <si>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</si>
  <si>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</si>
  <si>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</si>
  <si>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</si>
  <si>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</si>
  <si>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</si>
  <si>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Bàrbara</t>
  </si>
  <si>
    <t>Santa Cecília de Voltregà</t>
  </si>
  <si>
    <t>Santa Coloma de Cervelló</t>
  </si>
  <si>
    <t>Santa Coloma de Farners</t>
  </si>
  <si>
    <t>Santa Coloma de Gramenet</t>
  </si>
  <si>
    <t>Santa Coloma de Queralt</t>
  </si>
  <si>
    <t>Santa Cristina d'Aro</t>
  </si>
  <si>
    <t>Santa Eugènia de Berga</t>
  </si>
  <si>
    <t>Santa Eulàlia de Riuprimer</t>
  </si>
  <si>
    <t>Santa Eulàlia de Ronçana</t>
  </si>
  <si>
    <t>Santa Fe del Penedès</t>
  </si>
  <si>
    <t>Santa Llogaia d'Àlguema</t>
  </si>
  <si>
    <t>Santa Margarida de Montbui</t>
  </si>
  <si>
    <t>Santa Margarida i els Monjos</t>
  </si>
  <si>
    <t>Santa Maria d'Oló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</si>
  <si>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</si>
  <si>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</si>
  <si>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</si>
  <si>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</si>
  <si>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</si>
  <si>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Oliva</t>
  </si>
  <si>
    <t>Santa Pau</t>
  </si>
  <si>
    <t>Santa Perpètua de Mogoda</t>
  </si>
  <si>
    <t>Santa Susanna</t>
  </si>
  <si>
    <t>Santpedor</t>
  </si>
  <si>
    <t>Sarral</t>
  </si>
  <si>
    <t>Sarrià de Ter</t>
  </si>
  <si>
    <t>Sarroca de Bellera</t>
  </si>
  <si>
    <t>Sarroca de Lleida</t>
  </si>
  <si>
    <t>Saus, Camallera i Llampaies</t>
  </si>
  <si>
    <t>Savallà del Comtat</t>
  </si>
  <si>
    <t>Senan</t>
  </si>
  <si>
    <t>Senterada</t>
  </si>
  <si>
    <t>Sentmenat</t>
  </si>
  <si>
    <t>Serinyà</t>
  </si>
  <si>
    <t>Seròs</t>
  </si>
  <si>
    <t>Serra de Daró</t>
  </si>
  <si>
    <t>Setcases</t>
  </si>
  <si>
    <t>Seva</t>
  </si>
  <si>
    <t>Sidamon</t>
  </si>
  <si>
    <t>Sils</t>
  </si>
  <si>
    <t>Siurana</t>
  </si>
  <si>
    <t>Sobremunt</t>
  </si>
  <si>
    <t>Solivella</t>
  </si>
  <si>
    <t>Solsona</t>
  </si>
  <si>
    <t>Sora</t>
  </si>
  <si>
    <t>Soriguera</t>
  </si>
  <si>
    <t>Sort</t>
  </si>
  <si>
    <t>Soses</t>
  </si>
  <si>
    <t>Subirats</t>
  </si>
  <si>
    <t>Sudanell</t>
  </si>
  <si>
    <t>Sunyer</t>
  </si>
  <si>
    <t>Súria</t>
  </si>
  <si>
    <t>Susqueda</t>
  </si>
  <si>
    <t>Tagamanent</t>
  </si>
  <si>
    <t>Talamanca</t>
  </si>
  <si>
    <t>Talarn</t>
  </si>
  <si>
    <t>Talavera</t>
  </si>
  <si>
    <t>Taradell</t>
  </si>
  <si>
    <t>Tàrrega</t>
  </si>
  <si>
    <t>Tarrés</t>
  </si>
  <si>
    <t>Tarroja de Segarra</t>
  </si>
  <si>
    <t>Tavèrnoles</t>
  </si>
  <si>
    <t>Tavertet</t>
  </si>
  <si>
    <t>Teià</t>
  </si>
  <si>
    <t>Térmens</t>
  </si>
  <si>
    <t>Terrades</t>
  </si>
  <si>
    <t>Terrassa</t>
  </si>
  <si>
    <t>Tiana</t>
  </si>
  <si>
    <t>Tírvia</t>
  </si>
  <si>
    <t>Tiurana</t>
  </si>
  <si>
    <t>Tivenys</t>
  </si>
  <si>
    <t>Tivissa</t>
  </si>
  <si>
    <t>Tona</t>
  </si>
  <si>
    <t>Torà</t>
  </si>
  <si>
    <t>Tordera</t>
  </si>
  <si>
    <t>Torelló</t>
  </si>
  <si>
    <t>Tornabous</t>
  </si>
  <si>
    <t>Torre-serona</t>
  </si>
  <si>
    <t>Torrebesses</t>
  </si>
  <si>
    <t>Torredembarra</t>
  </si>
  <si>
    <t>Torrefarrera</t>
  </si>
  <si>
    <t>Torrefeta i Florejacs</t>
  </si>
  <si>
    <t>Torregrossa</t>
  </si>
  <si>
    <t>Torrelameu</t>
  </si>
  <si>
    <t>Torrelavit</t>
  </si>
  <si>
    <t>Torrelles de Foix</t>
  </si>
  <si>
    <t>Torrelles de Llobregat</t>
  </si>
  <si>
    <t>Torrent</t>
  </si>
  <si>
    <t>Torres de Segre</t>
  </si>
  <si>
    <t>Torroella de Fluvià</t>
  </si>
  <si>
    <t>Torroella de Montgrí</t>
  </si>
  <si>
    <t>Torroja del Priorat</t>
  </si>
  <si>
    <t>Tortellà</t>
  </si>
  <si>
    <t>Tortosa</t>
  </si>
  <si>
    <t>Toses</t>
  </si>
  <si>
    <t>Tossa de Mar</t>
  </si>
  <si>
    <t>Tremp</t>
  </si>
  <si>
    <t>Ullà</t>
  </si>
  <si>
    <t>Ullastrell</t>
  </si>
  <si>
    <t>Ullastret</t>
  </si>
  <si>
    <t>Ulldecona</t>
  </si>
  <si>
    <t>Ulldemolins</t>
  </si>
  <si>
    <t>Ultramort</t>
  </si>
  <si>
    <t>Urús</t>
  </si>
  <si>
    <t>Vacarisses</t>
  </si>
  <si>
    <t>Vall de Cardós</t>
  </si>
  <si>
    <t>Vall-llobrega</t>
  </si>
  <si>
    <t>Vallbona d'Anoia</t>
  </si>
  <si>
    <t>Vallbona de les Monges</t>
  </si>
  <si>
    <t>Vallcebre</t>
  </si>
  <si>
    <t>Vallclara</t>
  </si>
  <si>
    <t>Vallfogona de Balaguer</t>
  </si>
  <si>
    <t>Vallfogona de Ripollès</t>
  </si>
  <si>
    <t>Vallfogona de Riucorb</t>
  </si>
  <si>
    <t>Vallgorguina</t>
  </si>
  <si>
    <t>Vallirana</t>
  </si>
  <si>
    <t>Vallmoll</t>
  </si>
  <si>
    <t>Vallromanes</t>
  </si>
  <si>
    <t>Valls</t>
  </si>
  <si>
    <t>Vandellòs i l'Hospitalet de l'Infant</t>
  </si>
  <si>
    <t>Veciana</t>
  </si>
  <si>
    <t>Ventalló</t>
  </si>
  <si>
    <t>Verdú</t>
  </si>
  <si>
    <t>Verges</t>
  </si>
  <si>
    <t>Vespella de Gaià</t>
  </si>
  <si>
    <t>Vic</t>
  </si>
  <si>
    <t>Vidrà</t>
  </si>
  <si>
    <t>Vidreres</t>
  </si>
  <si>
    <t>Vielha e Mijaran</t>
  </si>
  <si>
    <t>Vila-rodona</t>
  </si>
  <si>
    <t>Vila-sacra</t>
  </si>
  <si>
    <t>Vila-sana</t>
  </si>
  <si>
    <t>Vila-seca</t>
  </si>
  <si>
    <t>Vilabella</t>
  </si>
  <si>
    <t>Vilabertran</t>
  </si>
  <si>
    <t>Vilablareix</t>
  </si>
  <si>
    <t>Vilada</t>
  </si>
  <si>
    <t>Viladamat</t>
  </si>
  <si>
    <t>Viladasens</t>
  </si>
  <si>
    <t>Viladecans</t>
  </si>
  <si>
    <t>Viladecavalls</t>
  </si>
  <si>
    <t>Vilademuls</t>
  </si>
  <si>
    <t>Viladrau</t>
  </si>
  <si>
    <t>Vilafant</t>
  </si>
  <si>
    <t>Vilafranca del Penedès</t>
  </si>
  <si>
    <t>Vilagrassa</t>
  </si>
  <si>
    <t>Vilajuïga</t>
  </si>
  <si>
    <t>Vilalba dels Arcs</t>
  </si>
  <si>
    <t>Vilalba Sasserra</t>
  </si>
  <si>
    <t>Vilaller</t>
  </si>
  <si>
    <t>Vilallonga de Ter</t>
  </si>
  <si>
    <t>Vilallonga del Camp</t>
  </si>
  <si>
    <t>Vilamacolum</t>
  </si>
  <si>
    <t>Vilamalla</t>
  </si>
  <si>
    <t>Vilamaniscle</t>
  </si>
  <si>
    <t>Vilamòs</t>
  </si>
  <si>
    <t>Vilanant</t>
  </si>
  <si>
    <t>Vilanova d'Escornalbou</t>
  </si>
  <si>
    <t>Vilanova de Bellpuig</t>
  </si>
  <si>
    <t>Vilanova de l'Aguda</t>
  </si>
  <si>
    <t>Vilanova de la Barca</t>
  </si>
  <si>
    <t>Vilanova de Meià</t>
  </si>
  <si>
    <t>Vilanova de Prades</t>
  </si>
  <si>
    <t>Vilanova de Sau</t>
  </si>
  <si>
    <t>Vilanova de Segrià</t>
  </si>
  <si>
    <t>Vilanova del Camí</t>
  </si>
  <si>
    <t>Vilanova del Vallès</t>
  </si>
  <si>
    <t>Vilanova i la Geltrú</t>
  </si>
  <si>
    <t>Vilaplana</t>
  </si>
  <si>
    <t>Vilassar de Dalt</t>
  </si>
  <si>
    <t>Vilassar de Mar</t>
  </si>
  <si>
    <t>Vilaür</t>
  </si>
  <si>
    <t>Vilaverd</t>
  </si>
  <si>
    <t>Vilobí d'Onyar</t>
  </si>
  <si>
    <t>Vilobí del Penedès</t>
  </si>
  <si>
    <t>Vilopriu</t>
  </si>
  <si>
    <t>Vimbodí i Poblet</t>
  </si>
  <si>
    <t>Vinaixa</t>
  </si>
  <si>
    <t>Vinebre</t>
  </si>
  <si>
    <t>Vinyols i els Arcs</t>
  </si>
  <si>
    <t>Viver i Serrateix</t>
  </si>
  <si>
    <t>Xerta</t>
  </si>
  <si>
    <t>ferits</t>
  </si>
  <si>
    <t>Font: Servei Català de Trànsit</t>
  </si>
  <si>
    <t>C-43</t>
  </si>
  <si>
    <t>vehicles pesants</t>
  </si>
  <si>
    <t xml:space="preserve">túnel del </t>
  </si>
  <si>
    <t>túnel de</t>
  </si>
  <si>
    <t xml:space="preserve">Sant Cugat </t>
  </si>
  <si>
    <t>del Vallès-</t>
  </si>
  <si>
    <t>Sitges -</t>
  </si>
  <si>
    <t>Font: Direcció General de Trànsit i IDESCAT</t>
  </si>
  <si>
    <t xml:space="preserve"> i altres</t>
  </si>
  <si>
    <t>IMD mensual</t>
  </si>
  <si>
    <t>Barcelona-Tarragona</t>
  </si>
  <si>
    <t>Montmeló-el Papiol</t>
  </si>
  <si>
    <t>Lleida-Mediterrani</t>
  </si>
  <si>
    <t>Salou-Amposta</t>
  </si>
  <si>
    <t>Túnel del Cadí</t>
  </si>
  <si>
    <t>Terrassa-Manresa</t>
  </si>
  <si>
    <t>Sitges-el Vendrell</t>
  </si>
  <si>
    <t>Gener</t>
  </si>
  <si>
    <t>Febrer</t>
  </si>
  <si>
    <t>Març</t>
  </si>
  <si>
    <t>Abril</t>
  </si>
  <si>
    <t>Maig</t>
  </si>
  <si>
    <t>C-37</t>
  </si>
  <si>
    <t>(IMD*longitud*365)</t>
  </si>
  <si>
    <t>d'obtenció</t>
  </si>
  <si>
    <t>automàtic</t>
  </si>
  <si>
    <t>Nota: s'inclouen els trams de carreteres en concessió.</t>
  </si>
  <si>
    <t>C-63</t>
  </si>
  <si>
    <t>Àmbit Metropolità</t>
  </si>
  <si>
    <t>Comarques Gironines</t>
  </si>
  <si>
    <t>Camp de Tarragona</t>
  </si>
  <si>
    <t>Terres de l'Ebre</t>
  </si>
  <si>
    <t>Àmbit de Ponent</t>
  </si>
  <si>
    <t>Comarques Centrals</t>
  </si>
  <si>
    <t xml:space="preserve"> </t>
  </si>
  <si>
    <t>Barcelona-</t>
  </si>
  <si>
    <t>Montgat-</t>
  </si>
  <si>
    <t>Montmeló-</t>
  </si>
  <si>
    <t>Tarragona-</t>
  </si>
  <si>
    <t>Castelldefels-</t>
  </si>
  <si>
    <t>Mediterrani</t>
  </si>
  <si>
    <t>València</t>
  </si>
  <si>
    <t>Cadí</t>
  </si>
  <si>
    <t>Vallvidrera</t>
  </si>
  <si>
    <t>el Vendrell</t>
  </si>
  <si>
    <t>1970</t>
  </si>
  <si>
    <t>-</t>
  </si>
  <si>
    <t>Vallès Occidental</t>
  </si>
  <si>
    <t>Vallès Oriental</t>
  </si>
  <si>
    <t>Municipi</t>
  </si>
  <si>
    <t>--</t>
  </si>
  <si>
    <t>C-31D</t>
  </si>
  <si>
    <t>C-31E</t>
  </si>
  <si>
    <t>C-31F</t>
  </si>
  <si>
    <t>C-38</t>
  </si>
  <si>
    <t>Longitud total (km)</t>
  </si>
  <si>
    <t>Veh.*km totals</t>
  </si>
  <si>
    <t>mitjana % pesants</t>
  </si>
  <si>
    <t>Baix Ebre</t>
  </si>
  <si>
    <t>Baix Empordà</t>
  </si>
  <si>
    <t>Baix Llobregat</t>
  </si>
  <si>
    <t>Baix Penedès</t>
  </si>
  <si>
    <t>Barcelonès</t>
  </si>
  <si>
    <t>Interval de</t>
  </si>
  <si>
    <t>trànsit diari</t>
  </si>
  <si>
    <t>IMD mitjana</t>
  </si>
  <si>
    <t>(veh./dia)</t>
  </si>
  <si>
    <t>Vehicles industrials</t>
  </si>
  <si>
    <t xml:space="preserve">   Autobusos</t>
  </si>
  <si>
    <t xml:space="preserve">   Camions</t>
  </si>
  <si>
    <t>Tractors industrials</t>
  </si>
  <si>
    <t>Font: Direcció General de Trànsit</t>
  </si>
  <si>
    <t>Autobusos i</t>
  </si>
  <si>
    <t>autocars</t>
  </si>
  <si>
    <t>Altes (matriculacions)</t>
  </si>
  <si>
    <t>Baixes</t>
  </si>
  <si>
    <t xml:space="preserve">Transferència de vehicles entre </t>
  </si>
  <si>
    <t xml:space="preserve">  Serveis territorials de transports</t>
  </si>
  <si>
    <t xml:space="preserve">       Homes</t>
  </si>
  <si>
    <t xml:space="preserve">       Dones</t>
  </si>
  <si>
    <t>1988</t>
  </si>
  <si>
    <t>1989</t>
  </si>
  <si>
    <t>1990</t>
  </si>
  <si>
    <t>1991</t>
  </si>
  <si>
    <t>1992</t>
  </si>
  <si>
    <t>1993</t>
  </si>
  <si>
    <t>IMD</t>
  </si>
  <si>
    <t xml:space="preserve"> i Altres</t>
  </si>
  <si>
    <t>Font: Subdirecció General de Relació amb les Empreses Gestores d'Infraestructures Viàries</t>
  </si>
  <si>
    <t>Alt Pirineu i Aran</t>
  </si>
  <si>
    <t>C-42</t>
  </si>
  <si>
    <t>C-66</t>
  </si>
  <si>
    <t>C-32</t>
  </si>
  <si>
    <t>1.001 – 2.000 veh./dia</t>
  </si>
  <si>
    <t>2.001 – 5.000 veh./dia</t>
  </si>
  <si>
    <t>5.001 – 10.000 veh./dia</t>
  </si>
  <si>
    <t>10.001 – 15.000 veh./dia</t>
  </si>
  <si>
    <t>15.001 – 20.000 veh./dia</t>
  </si>
  <si>
    <t>20.001 – 50.000 veh./dia</t>
  </si>
  <si>
    <t>C-15B</t>
  </si>
  <si>
    <t>morts*</t>
  </si>
  <si>
    <t>Víctimes totals</t>
  </si>
  <si>
    <t>En zona interurbana</t>
  </si>
  <si>
    <t>* Morts a 24 hores</t>
  </si>
  <si>
    <t>C-33</t>
  </si>
  <si>
    <t>C-59</t>
  </si>
  <si>
    <t>Vehicles-quilòmetre</t>
  </si>
  <si>
    <t>C-35</t>
  </si>
  <si>
    <t>C-60</t>
  </si>
  <si>
    <t>C-61</t>
  </si>
  <si>
    <t>C-13</t>
  </si>
  <si>
    <t>C-53</t>
  </si>
  <si>
    <t>IMD: Intensitat mitjana diària</t>
  </si>
  <si>
    <t>Sitges</t>
  </si>
  <si>
    <t>Montmeló-la Jonquera</t>
  </si>
  <si>
    <t>Barcelona-Montmeló</t>
  </si>
  <si>
    <t>Montgat-Palafolls</t>
  </si>
  <si>
    <t>Montmeló- el Papiol</t>
  </si>
  <si>
    <t>St. Cugat-Terrassa</t>
  </si>
  <si>
    <t>Castelldefels-Sitges</t>
  </si>
  <si>
    <t>Sitges-El Vendrell</t>
  </si>
  <si>
    <t>IF1: Accidents amb víctimes * 100 milions / vehicles km</t>
  </si>
  <si>
    <t>IF2: Víctimes * 100 milions / vehicles km</t>
  </si>
  <si>
    <t>IF3: Morts * 100 milions / vehicles km</t>
  </si>
  <si>
    <t>Les dades fan referencia al tronc de les vies, excloient -hi els accessos</t>
  </si>
  <si>
    <t>Abella de la Conca</t>
  </si>
  <si>
    <t>Abrera</t>
  </si>
  <si>
    <t>Àger</t>
  </si>
  <si>
    <t>Agramunt</t>
  </si>
  <si>
    <t>Aguilar de Segarra</t>
  </si>
  <si>
    <t>Agullana</t>
  </si>
  <si>
    <t>Aiguafreda</t>
  </si>
  <si>
    <t>Aiguamúrcia</t>
  </si>
  <si>
    <t>Aiguaviva</t>
  </si>
  <si>
    <t>Aitona</t>
  </si>
  <si>
    <t>Alàs i Cerc</t>
  </si>
  <si>
    <t>Albanyà</t>
  </si>
  <si>
    <t>Albatàrrec</t>
  </si>
  <si>
    <t>Albesa</t>
  </si>
  <si>
    <t>Albinyana</t>
  </si>
  <si>
    <t>Albons</t>
  </si>
  <si>
    <t>Alcanar</t>
  </si>
  <si>
    <t>Alcanó</t>
  </si>
  <si>
    <t>Alcarràs</t>
  </si>
  <si>
    <t>Alcoletge</t>
  </si>
  <si>
    <t>Alcover</t>
  </si>
  <si>
    <t>Aldover</t>
  </si>
  <si>
    <t>Alella</t>
  </si>
  <si>
    <t>Alfara de Carles</t>
  </si>
  <si>
    <t>Alfarràs</t>
  </si>
  <si>
    <t>Alfés</t>
  </si>
  <si>
    <t>Alforja</t>
  </si>
  <si>
    <t>Algerri</t>
  </si>
  <si>
    <t>Alguaire</t>
  </si>
  <si>
    <t>Alins</t>
  </si>
  <si>
    <t>Alió</t>
  </si>
  <si>
    <t>Almacelles</t>
  </si>
  <si>
    <t>Almatret</t>
  </si>
  <si>
    <t>Almenar</t>
  </si>
  <si>
    <t>Almoster</t>
  </si>
  <si>
    <t>Alòs de Balaguer</t>
  </si>
  <si>
    <t>Alp</t>
  </si>
  <si>
    <t>Alpens</t>
  </si>
  <si>
    <t>Alpicat</t>
  </si>
  <si>
    <t>Alt Àneu</t>
  </si>
  <si>
    <t>Altafulla</t>
  </si>
  <si>
    <t>Amer</t>
  </si>
  <si>
    <t>Amposta</t>
  </si>
  <si>
    <t>Anglès</t>
  </si>
  <si>
    <t>Anglesola</t>
  </si>
  <si>
    <t>Arbeca</t>
  </si>
  <si>
    <t>Arbolí</t>
  </si>
  <si>
    <t>Arbúcies</t>
  </si>
  <si>
    <t>Arenys de Mar</t>
  </si>
  <si>
    <t>Arenys de Munt</t>
  </si>
  <si>
    <t>Argelaguer</t>
  </si>
  <si>
    <t>Argençola</t>
  </si>
  <si>
    <t>Argentona</t>
  </si>
  <si>
    <t>Arnes</t>
  </si>
  <si>
    <t>Arres</t>
  </si>
  <si>
    <t>Arsèguel</t>
  </si>
  <si>
    <t>Artés</t>
  </si>
  <si>
    <t>Artesa de Lleida</t>
  </si>
  <si>
    <t>Artesa de Segre</t>
  </si>
  <si>
    <t>Ascó</t>
  </si>
  <si>
    <t>Aspa</t>
  </si>
  <si>
    <t>Avià</t>
  </si>
  <si>
    <t>Avinyó</t>
  </si>
  <si>
    <t>Avinyonet de Puigventós</t>
  </si>
  <si>
    <t>Avinyonet del Penedès</t>
  </si>
  <si>
    <t>Badalona</t>
  </si>
  <si>
    <t>Badia del Vallès</t>
  </si>
  <si>
    <t>Bagà</t>
  </si>
  <si>
    <t>Baix Pallars</t>
  </si>
  <si>
    <t>Balaguer</t>
  </si>
  <si>
    <t>Balenyà</t>
  </si>
  <si>
    <t>Balsareny</t>
  </si>
  <si>
    <t>Banyeres del Penedès</t>
  </si>
  <si>
    <t>Banyoles</t>
  </si>
  <si>
    <t>Barbens</t>
  </si>
  <si>
    <t>Barberà de la Conca</t>
  </si>
  <si>
    <t>Barberà del Vallès</t>
  </si>
  <si>
    <t>Bàscara</t>
  </si>
  <si>
    <t>Bassella</t>
  </si>
  <si>
    <t>Batea</t>
  </si>
  <si>
    <t>Bausen</t>
  </si>
  <si>
    <t>Begues</t>
  </si>
  <si>
    <t>Begur</t>
  </si>
  <si>
    <t>Belianes</t>
  </si>
  <si>
    <t>Bell-lloc d'Urgell</t>
  </si>
  <si>
    <t>Bellaguarda</t>
  </si>
  <si>
    <t>Bellcaire d'Empordà</t>
  </si>
  <si>
    <t>Bellcaire d'Urgell</t>
  </si>
  <si>
    <t>Bellmunt d'Urgell</t>
  </si>
  <si>
    <t>Bellmunt del Priorat</t>
  </si>
  <si>
    <t>Bellprat</t>
  </si>
  <si>
    <t>Bellpuig</t>
  </si>
  <si>
    <t>Bellvei</t>
  </si>
  <si>
    <t>Bellver de Cerdanya</t>
  </si>
  <si>
    <t>Bellvís</t>
  </si>
  <si>
    <t>Benavent de Segrià</t>
  </si>
  <si>
    <t>Benifallet</t>
  </si>
  <si>
    <t>Benissanet</t>
  </si>
  <si>
    <t>Berga</t>
  </si>
  <si>
    <t>Besalú</t>
  </si>
  <si>
    <t>Bescanó</t>
  </si>
  <si>
    <t>Beuda</t>
  </si>
  <si>
    <t>Bigues i Riells</t>
  </si>
  <si>
    <t>Biosca</t>
  </si>
  <si>
    <t>Biure</t>
  </si>
  <si>
    <t>Blancafort</t>
  </si>
  <si>
    <t>Blanes</t>
  </si>
  <si>
    <t>Boadella i les Escaules</t>
  </si>
  <si>
    <t>Bolvir</t>
  </si>
  <si>
    <t>Bonastre</t>
  </si>
  <si>
    <t>Bòrdes, Es</t>
  </si>
  <si>
    <t>Bordils</t>
  </si>
  <si>
    <t>Borrassà</t>
  </si>
  <si>
    <t>Borredà</t>
  </si>
  <si>
    <t>Bossòst</t>
  </si>
  <si>
    <t>Bot</t>
  </si>
  <si>
    <t>Botarell</t>
  </si>
  <si>
    <t>Bovera</t>
  </si>
  <si>
    <t>Bràfim</t>
  </si>
  <si>
    <t>Breda</t>
  </si>
  <si>
    <t>Cabacés</t>
  </si>
  <si>
    <t>Cabanabona</t>
  </si>
  <si>
    <t>Cabanelles</t>
  </si>
  <si>
    <t>Cabanes</t>
  </si>
  <si>
    <t>Cabó</t>
  </si>
  <si>
    <t>Cabra del Camp</t>
  </si>
  <si>
    <t>Cabrera d'Anoia</t>
  </si>
  <si>
    <t>Cabrera de Mar</t>
  </si>
  <si>
    <t>Cabrils</t>
  </si>
  <si>
    <t>Cadaqués</t>
  </si>
  <si>
    <t>Calaf</t>
  </si>
  <si>
    <t>Calafell</t>
  </si>
  <si>
    <t>Calders</t>
  </si>
  <si>
    <t>Caldes d'Estrac</t>
  </si>
  <si>
    <t>Caldes de Malavella</t>
  </si>
  <si>
    <t>Caldes de Montbui</t>
  </si>
  <si>
    <t>Calella</t>
  </si>
  <si>
    <t>Calldetenes</t>
  </si>
  <si>
    <t>Callús</t>
  </si>
  <si>
    <t>Calonge de Segarra</t>
  </si>
  <si>
    <t>Camarasa</t>
  </si>
  <si>
    <t>Camarles</t>
  </si>
  <si>
    <t>Cambrils</t>
  </si>
  <si>
    <t>Camós</t>
  </si>
  <si>
    <t>Campdevànol</t>
  </si>
  <si>
    <t>Campelles</t>
  </si>
  <si>
    <t>Campins</t>
  </si>
  <si>
    <t>Campllong</t>
  </si>
  <si>
    <t>Camprodon</t>
  </si>
  <si>
    <t>Canejan</t>
  </si>
  <si>
    <t>Canet d'Adri</t>
  </si>
  <si>
    <t>Canet de Mar</t>
  </si>
  <si>
    <t>Canovelles</t>
  </si>
  <si>
    <t>Cànoves i Samalús</t>
  </si>
  <si>
    <t>Cantallops</t>
  </si>
  <si>
    <t>Canyelles</t>
  </si>
  <si>
    <t>Capafonts</t>
  </si>
  <si>
    <t>Capçanes</t>
  </si>
  <si>
    <t>Capellades</t>
  </si>
  <si>
    <t>Capmany</t>
  </si>
  <si>
    <t>Capolat</t>
  </si>
  <si>
    <t>Cardedeu</t>
  </si>
  <si>
    <t>Cardona</t>
  </si>
  <si>
    <t>Carme</t>
  </si>
  <si>
    <t>Caseres</t>
  </si>
  <si>
    <t>Cassà de la Selva</t>
  </si>
  <si>
    <t>Casserres</t>
  </si>
  <si>
    <t>Castell de l'Areny</t>
  </si>
  <si>
    <t>Castell de Mur</t>
  </si>
  <si>
    <t>Castell-Platja d'Aro</t>
  </si>
  <si>
    <t>Castellar de la Ribera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</si>
  <si>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</si>
  <si>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</si>
  <si>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</si>
  <si>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</si>
  <si>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</si>
  <si>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</si>
  <si>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Castelldans</t>
  </si>
  <si>
    <t>Castelldefels</t>
  </si>
  <si>
    <t>Castellet i la Gornal</t>
  </si>
  <si>
    <t>Castellfollit de la Roca</t>
  </si>
  <si>
    <t>Castellfollit de Riubregós</t>
  </si>
  <si>
    <t>Castellfollit del Boix</t>
  </si>
  <si>
    <t>Castellgalí</t>
  </si>
  <si>
    <t>Castellnou de Bages</t>
  </si>
  <si>
    <t>Castellnou de Seana</t>
  </si>
  <si>
    <t>Castelló d'Empúries</t>
  </si>
  <si>
    <t>Castelló de Farfanya</t>
  </si>
  <si>
    <t>Castellolí</t>
  </si>
  <si>
    <t>Castellserà</t>
  </si>
  <si>
    <t>Castellterçol</t>
  </si>
  <si>
    <t>Castellvell del Camp</t>
  </si>
  <si>
    <t>Castellví de la Marca</t>
  </si>
  <si>
    <t>Castellví de Rosanes</t>
  </si>
  <si>
    <t>Cava</t>
  </si>
  <si>
    <t>Celrà</t>
  </si>
  <si>
    <t>Centelles</t>
  </si>
  <si>
    <t>Cercs</t>
  </si>
  <si>
    <t>Cerdanyola del Vallès</t>
  </si>
  <si>
    <t>Cervelló</t>
  </si>
  <si>
    <t>Cervera</t>
  </si>
  <si>
    <t>Cervià de les Garrigues</t>
  </si>
  <si>
    <t>Cervià de Ter</t>
  </si>
  <si>
    <t>Cistella</t>
  </si>
  <si>
    <t>Ciutadilla</t>
  </si>
  <si>
    <t>Clariana de Cardener</t>
  </si>
  <si>
    <t>Colera</t>
  </si>
  <si>
    <t>Coll de Nargó</t>
  </si>
  <si>
    <t>Collbató</t>
  </si>
  <si>
    <t>Colldejou</t>
  </si>
  <si>
    <t>Collsuspina</t>
  </si>
  <si>
    <t>Colomers</t>
  </si>
  <si>
    <t>Conca de Dalt</t>
  </si>
  <si>
    <t>Conesa</t>
  </si>
  <si>
    <t>Constantí</t>
  </si>
  <si>
    <t>Copons</t>
  </si>
  <si>
    <t>Corbera d'Ebre</t>
  </si>
  <si>
    <t>Corbera de Llobregat</t>
  </si>
  <si>
    <t>Corbins</t>
  </si>
  <si>
    <t>Corçà</t>
  </si>
  <si>
    <t>Cornellà de Llobregat</t>
  </si>
  <si>
    <t>Cornellà del Terri</t>
  </si>
  <si>
    <t>Cornudella de Montsant</t>
  </si>
  <si>
    <t>Creixell</t>
  </si>
  <si>
    <t>Crespià</t>
  </si>
  <si>
    <t>Cubelles</t>
  </si>
  <si>
    <t>Cubells</t>
  </si>
  <si>
    <t>Cunit</t>
  </si>
  <si>
    <t>Darnius</t>
  </si>
  <si>
    <t>Das</t>
  </si>
  <si>
    <t>Deltebre</t>
  </si>
  <si>
    <t>Dosrius</t>
  </si>
  <si>
    <t>Duesaigües</t>
  </si>
  <si>
    <t>Esparreguera</t>
  </si>
  <si>
    <t>Espinelves</t>
  </si>
  <si>
    <t>Esplugues de Llobregat</t>
  </si>
  <si>
    <t>Espolla</t>
  </si>
  <si>
    <t>Esponellà</t>
  </si>
  <si>
    <t>Espot</t>
  </si>
  <si>
    <t>Estamariu</t>
  </si>
  <si>
    <t>Estaràs</t>
  </si>
  <si>
    <t>Esterri d'Àneu</t>
  </si>
  <si>
    <t>Esterri de Cardós</t>
  </si>
  <si>
    <t>Falset</t>
  </si>
  <si>
    <t>Farrera</t>
  </si>
  <si>
    <t>Figaró-Montmany</t>
  </si>
  <si>
    <t>Fígols</t>
  </si>
  <si>
    <t>Fígols i Alinyà</t>
  </si>
  <si>
    <t>Figueres</t>
  </si>
  <si>
    <t>Figuerola del Camp</t>
  </si>
  <si>
    <t>Flaçà</t>
  </si>
  <si>
    <t>Flix</t>
  </si>
  <si>
    <t>Fogars de la Selva</t>
  </si>
  <si>
    <t>Fogars de Montclús</t>
  </si>
  <si>
    <t>Foixà</t>
  </si>
  <si>
    <t>Folgueroles</t>
  </si>
  <si>
    <t>Fondarella</t>
  </si>
  <si>
    <t>Fonollosa</t>
  </si>
  <si>
    <t>Font-rubí</t>
  </si>
  <si>
    <t>Fontanals de Cerdanya</t>
  </si>
  <si>
    <t>Fontanilles</t>
  </si>
  <si>
    <t>Fontcoberta</t>
  </si>
  <si>
    <t>Foradada</t>
  </si>
  <si>
    <t>Forallac</t>
  </si>
  <si>
    <t>Forès</t>
  </si>
  <si>
    <t>Fornells de la Selva</t>
  </si>
  <si>
    <t>Fortià</t>
  </si>
  <si>
    <t>Gallifa</t>
  </si>
  <si>
    <t>Gandesa</t>
  </si>
  <si>
    <t>Garcia</t>
  </si>
  <si>
    <t>Garrigàs</t>
  </si>
  <si>
    <t>Garrigoles</t>
  </si>
  <si>
    <t>Garriguella</t>
  </si>
  <si>
    <t>Gavà</t>
  </si>
  <si>
    <t>Gavet de la Conca</t>
  </si>
  <si>
    <t>Gelida</t>
  </si>
  <si>
    <t>Ger</t>
  </si>
  <si>
    <t>Gimenells i el Pla de la Font</t>
  </si>
  <si>
    <t>Ginestar</t>
  </si>
  <si>
    <t>Gironella</t>
  </si>
  <si>
    <t>Gisclareny</t>
  </si>
  <si>
    <t>Godall</t>
  </si>
  <si>
    <t>Golmés</t>
  </si>
  <si>
    <t>Gombrèn</t>
  </si>
  <si>
    <t>Gósol</t>
  </si>
  <si>
    <t>Granera</t>
  </si>
  <si>
    <t>Granollers</t>
  </si>
  <si>
    <t>Granyanella</t>
  </si>
  <si>
    <t>Granyena de les Garrigues</t>
  </si>
  <si>
    <t>Granyena de Segarra</t>
  </si>
  <si>
    <t>Gratallops</t>
  </si>
  <si>
    <t>Gualba</t>
  </si>
  <si>
    <t>Gualta</t>
  </si>
  <si>
    <t>Guardiola de Berguedà</t>
  </si>
  <si>
    <t>Guils de Cerdanya</t>
  </si>
  <si>
    <t>Guimerà</t>
  </si>
  <si>
    <t>Guissona</t>
  </si>
  <si>
    <t>Guixers</t>
  </si>
  <si>
    <t>Gurb</t>
  </si>
  <si>
    <t>Horta de Sant Joan</t>
  </si>
  <si>
    <t>Hostalric</t>
  </si>
  <si>
    <t>Igualada</t>
  </si>
  <si>
    <t>Isona i Conca Dellà</t>
  </si>
  <si>
    <t>Isòvol</t>
  </si>
  <si>
    <t>Ivars d'Urgell</t>
  </si>
  <si>
    <t>Ivars de Noguera</t>
  </si>
  <si>
    <t>Jafre</t>
  </si>
  <si>
    <t>Jorba</t>
  </si>
  <si>
    <t>Josa i Tuixén</t>
  </si>
  <si>
    <t>Juià</t>
  </si>
  <si>
    <t>Juncosa</t>
  </si>
  <si>
    <t>Juneda</t>
  </si>
  <si>
    <t>Les</t>
  </si>
  <si>
    <t>Linyola</t>
  </si>
  <si>
    <t>Lladó</t>
  </si>
  <si>
    <t>Lladorre</t>
  </si>
  <si>
    <t>Lladurs</t>
  </si>
  <si>
    <t>Llagostera</t>
  </si>
  <si>
    <t>Llambilles</t>
  </si>
  <si>
    <t>Llanars</t>
  </si>
  <si>
    <t>Llançà</t>
  </si>
  <si>
    <t>Llardecans</t>
  </si>
  <si>
    <t>Llavorsí</t>
  </si>
  <si>
    <t>Llers</t>
  </si>
  <si>
    <t>Lles de Cerdanya</t>
  </si>
  <si>
    <t>Lliçà d'Amunt</t>
  </si>
  <si>
    <t>Lliçà de Vall</t>
  </si>
  <si>
    <t>Llimiana</t>
  </si>
  <si>
    <t>Llinars del Vallès</t>
  </si>
  <si>
    <t>Llívia</t>
  </si>
  <si>
    <t>Llobera</t>
  </si>
  <si>
    <t>Llorac</t>
  </si>
  <si>
    <t>Llorenç del Penedès</t>
  </si>
  <si>
    <t>Lloret de Mar</t>
  </si>
  <si>
    <t>Lluçà</t>
  </si>
  <si>
    <t>Maçanet de Cabrenys</t>
  </si>
  <si>
    <t>Maçanet de la Selva</t>
  </si>
  <si>
    <t>Madremanya</t>
  </si>
  <si>
    <t>Maià de Montcal</t>
  </si>
  <si>
    <t>Maials</t>
  </si>
  <si>
    <t>Maldà</t>
  </si>
  <si>
    <t>Malgrat de Mar</t>
  </si>
  <si>
    <t>Malla</t>
  </si>
  <si>
    <t>Manlleu</t>
  </si>
  <si>
    <t>Marçà</t>
  </si>
  <si>
    <t>Margalef</t>
  </si>
  <si>
    <t>Marganell</t>
  </si>
  <si>
    <t>Martorell</t>
  </si>
  <si>
    <t>Martorelles</t>
  </si>
  <si>
    <t>Mas de Barberans</t>
  </si>
  <si>
    <t>Masarac</t>
  </si>
  <si>
    <t>Masdenverge</t>
  </si>
  <si>
    <t>Masllorenç</t>
  </si>
  <si>
    <t>Maspujols</t>
  </si>
  <si>
    <t>Masquefa</t>
  </si>
  <si>
    <t>Massalcoreig</t>
  </si>
  <si>
    <t>Massanes</t>
  </si>
  <si>
    <t>Massoteres</t>
  </si>
  <si>
    <t>Matadepera</t>
  </si>
  <si>
    <t>Mataró</t>
  </si>
  <si>
    <t>Mediona</t>
  </si>
  <si>
    <t>Menàrguens</t>
  </si>
  <si>
    <t>Meranges</t>
  </si>
  <si>
    <t>Mieres</t>
  </si>
  <si>
    <t>Miralcamp</t>
  </si>
  <si>
    <t>Miravet</t>
  </si>
  <si>
    <t>Moià</t>
  </si>
  <si>
    <t>Molins de Rei</t>
  </si>
  <si>
    <t>Mollerussa</t>
  </si>
  <si>
    <t>Mollet de Peralada</t>
  </si>
  <si>
    <t>Mollet del Vallès</t>
  </si>
  <si>
    <t>Molló</t>
  </si>
  <si>
    <t>Monistrol de Calders</t>
  </si>
  <si>
    <t>Monistrol de Montserrat</t>
  </si>
  <si>
    <t>Mont-ral</t>
  </si>
  <si>
    <t>Mont-ras</t>
  </si>
  <si>
    <t>Mont-roig del Camp</t>
  </si>
  <si>
    <t>Montagut i Oix</t>
  </si>
  <si>
    <t>Montblanc</t>
  </si>
  <si>
    <t>Montbrió del Camp</t>
  </si>
  <si>
    <t>Montcada i Reixac</t>
  </si>
  <si>
    <t>Montclar</t>
  </si>
  <si>
    <t>Montellà i Martinet</t>
  </si>
  <si>
    <t>Montesquiu</t>
  </si>
  <si>
    <t>Montferrer i Castellbò</t>
  </si>
  <si>
    <t>Montferri</t>
  </si>
  <si>
    <t>Montgai</t>
  </si>
  <si>
    <t>Montgat</t>
  </si>
  <si>
    <t>Montmajor</t>
  </si>
  <si>
    <t>Montmaneu</t>
  </si>
  <si>
    <t>Montmeló</t>
  </si>
  <si>
    <t>Montoliu de Lleida</t>
  </si>
  <si>
    <t>Montoliu de Segarra</t>
  </si>
  <si>
    <t>Montornès de Segarra</t>
  </si>
  <si>
    <t>Montornès del Vallès</t>
  </si>
  <si>
    <t>Montseny</t>
  </si>
  <si>
    <t>Móra d'Ebre</t>
  </si>
  <si>
    <t>Móra la Nova</t>
  </si>
  <si>
    <t>Muntanyola</t>
  </si>
  <si>
    <t>Mura</t>
  </si>
  <si>
    <t>Nalec</t>
  </si>
  <si>
    <t>Naut Aran</t>
  </si>
  <si>
    <t>Navarcles</t>
  </si>
  <si>
    <t>Navàs</t>
  </si>
  <si>
    <t>Navata</t>
  </si>
  <si>
    <t>Navès</t>
  </si>
  <si>
    <t>Nulles</t>
  </si>
  <si>
    <t>Odèn</t>
  </si>
  <si>
    <t>Òdena</t>
  </si>
  <si>
    <t>Ogassa</t>
  </si>
  <si>
    <t>Olèrdola</t>
  </si>
  <si>
    <t>Olesa de Bonesvalls</t>
  </si>
  <si>
    <t>Olesa de Montserrat</t>
  </si>
  <si>
    <t>Oliana</t>
  </si>
  <si>
    <t>Oliola</t>
  </si>
  <si>
    <t>Olius</t>
  </si>
  <si>
    <t>Olivella</t>
  </si>
  <si>
    <t>Olost</t>
  </si>
  <si>
    <t>Olot</t>
  </si>
  <si>
    <t>Olvan</t>
  </si>
  <si>
    <t>Ordis</t>
  </si>
  <si>
    <t>Organyà</t>
  </si>
  <si>
    <t>Orís</t>
  </si>
  <si>
    <t>Oristà</t>
  </si>
  <si>
    <t>Orpí</t>
  </si>
  <si>
    <t>Òrrius</t>
  </si>
  <si>
    <t>Os de Balaguer</t>
  </si>
  <si>
    <t>Osor</t>
  </si>
  <si>
    <t>Ossó de Sió</t>
  </si>
  <si>
    <t>Pacs del Penedès</t>
  </si>
  <si>
    <t>Palafolls</t>
  </si>
  <si>
    <t>Palafrugell</t>
  </si>
  <si>
    <t>Palamós</t>
  </si>
  <si>
    <t>Palau de Santa Eulàlia</t>
  </si>
  <si>
    <t>Palau-sator</t>
  </si>
  <si>
    <t>Palau-saverdera</t>
  </si>
  <si>
    <t>Palau-solità i Plegamans</t>
  </si>
  <si>
    <t>Pallejà</t>
  </si>
  <si>
    <t>Palol de Revardit</t>
  </si>
  <si>
    <t>Pals</t>
  </si>
  <si>
    <t>Pardines</t>
  </si>
  <si>
    <t>Parets del Vallès</t>
  </si>
  <si>
    <t>Parlavà</t>
  </si>
  <si>
    <t>Passanant i Belltall</t>
  </si>
  <si>
    <t>Pau</t>
  </si>
  <si>
    <t>Paüls</t>
  </si>
  <si>
    <t>Pedret i Marzà</t>
  </si>
  <si>
    <t>Penelles</t>
  </si>
  <si>
    <t>Perafita</t>
  </si>
  <si>
    <t>Perafort</t>
  </si>
  <si>
    <t>Peralada</t>
  </si>
  <si>
    <t>Peramola</t>
  </si>
  <si>
    <t>Piera</t>
  </si>
  <si>
    <t>Pineda de Mar</t>
  </si>
  <si>
    <t>Pinell de Solsonès</t>
  </si>
  <si>
    <t>Pinós</t>
  </si>
  <si>
    <t>Pira</t>
  </si>
  <si>
    <t>Planoles</t>
  </si>
  <si>
    <t>Poboleda</t>
  </si>
  <si>
    <t>Polinyà</t>
  </si>
  <si>
    <t>Pont de Molins</t>
  </si>
  <si>
    <t>Pontils</t>
  </si>
  <si>
    <t>Pontons</t>
  </si>
  <si>
    <t>Pontós</t>
  </si>
  <si>
    <t>Ponts</t>
  </si>
  <si>
    <t>Porqueres</t>
  </si>
  <si>
    <t>Porrera</t>
  </si>
  <si>
    <t>Portbou</t>
  </si>
  <si>
    <t>Pradell de la Teixeta</t>
  </si>
  <si>
    <t>Prades</t>
  </si>
  <si>
    <t>Prat de Comte</t>
  </si>
  <si>
    <t>Pratdip</t>
  </si>
  <si>
    <t>Prats de Lluçanès</t>
  </si>
  <si>
    <t>Prats i Sansor</t>
  </si>
  <si>
    <t>Preixana</t>
  </si>
  <si>
    <t>Preixens</t>
  </si>
  <si>
    <t>Premià de Dalt</t>
  </si>
  <si>
    <t>Premià de Mar</t>
  </si>
  <si>
    <t>Prullans</t>
  </si>
  <si>
    <t>Puig-reig</t>
  </si>
  <si>
    <t>Puigcerdà</t>
  </si>
  <si>
    <t>Puigdàlber</t>
  </si>
  <si>
    <t>Puiggròs</t>
  </si>
  <si>
    <t>Puigpelat</t>
  </si>
  <si>
    <t>Puigverd d'Agramunt</t>
  </si>
  <si>
    <t>Puigverd de Lleida</t>
  </si>
  <si>
    <t>Pujalt</t>
  </si>
  <si>
    <t>Quart</t>
  </si>
  <si>
    <t>Queralbs</t>
  </si>
  <si>
    <t>Querol</t>
  </si>
  <si>
    <t>Rabós</t>
  </si>
  <si>
    <t>Rajadell</t>
  </si>
  <si>
    <t>Rasquera</t>
  </si>
  <si>
    <t>Regencós</t>
  </si>
  <si>
    <t>Rellinars</t>
  </si>
  <si>
    <t>Renau</t>
  </si>
  <si>
    <t>Reus</t>
  </si>
  <si>
    <t>Rialp</t>
  </si>
  <si>
    <t>Riba-roja d'Ebre</t>
  </si>
  <si>
    <t>Ribera d'Ondara</t>
  </si>
  <si>
    <t>Ribera d'Urgellet</t>
  </si>
  <si>
    <t>Ribes de Freser</t>
  </si>
  <si>
    <t>Riells i Viabrea</t>
  </si>
  <si>
    <t>Riner</t>
  </si>
  <si>
    <t>Ripoll</t>
  </si>
  <si>
    <t>Ripollet</t>
  </si>
  <si>
    <t>Riu de Cerdanya</t>
  </si>
  <si>
    <t>Riudarenes</t>
  </si>
  <si>
    <t>Riudaura</t>
  </si>
  <si>
    <t>Riudecanyes</t>
  </si>
  <si>
    <t>Riudecols</t>
  </si>
  <si>
    <t>Riudellots de la Selva</t>
  </si>
  <si>
    <t>Riudoms</t>
  </si>
  <si>
    <t>Riumors</t>
  </si>
  <si>
    <t>Rocafort de Queralt</t>
  </si>
  <si>
    <t>Roda de Berà</t>
  </si>
  <si>
    <t>Roda de Ter</t>
  </si>
  <si>
    <t>Rodonyà</t>
  </si>
  <si>
    <t>Roquetes</t>
  </si>
  <si>
    <t>Roses</t>
  </si>
  <si>
    <t>Rosselló</t>
  </si>
  <si>
    <t>Cens (sense llicències)</t>
  </si>
  <si>
    <t>C-28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</si>
  <si>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</si>
  <si>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</si>
  <si>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</si>
  <si>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</si>
  <si>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</si>
  <si>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</si>
  <si>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</si>
  <si>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</si>
  <si>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</si>
  <si>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</si>
  <si>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</si>
  <si>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</si>
  <si>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</si>
  <si>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</si>
  <si>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</si>
  <si>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</si>
  <si>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</si>
  <si>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Longitud (km)</t>
  </si>
  <si>
    <t>(IMD)</t>
  </si>
  <si>
    <t>(% sobre IMD)</t>
  </si>
  <si>
    <t>Demarcació de Barcelona</t>
  </si>
  <si>
    <t>Demarcació de Girona</t>
  </si>
  <si>
    <t>Demarcació de Lleida</t>
  </si>
  <si>
    <t>Demarcació de Tarragona</t>
  </si>
  <si>
    <t>Carreteres en concessió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</si>
  <si>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</si>
  <si>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</si>
  <si>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</si>
  <si>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</si>
  <si>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</si>
  <si>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</si>
  <si>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</si>
  <si>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</si>
  <si>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Trànsit</t>
  </si>
  <si>
    <t>i altres</t>
  </si>
  <si>
    <t>recorreguts any</t>
  </si>
  <si>
    <t>Percentatge de</t>
  </si>
  <si>
    <t>Sant Cugat del Vallès-Terrassa</t>
  </si>
  <si>
    <t>túnel del Cadí</t>
  </si>
  <si>
    <t>túnels de Vallvidrera</t>
  </si>
  <si>
    <t>IMD (veh./dia)</t>
  </si>
  <si>
    <t>Girona</t>
  </si>
  <si>
    <t>Lleida</t>
  </si>
  <si>
    <t>Tarragona</t>
  </si>
  <si>
    <t xml:space="preserve">Furgonetes </t>
  </si>
  <si>
    <t>Juny</t>
  </si>
  <si>
    <t>Juliol</t>
  </si>
  <si>
    <t>Agost</t>
  </si>
  <si>
    <t>Setembre</t>
  </si>
  <si>
    <t>Octubre</t>
  </si>
  <si>
    <t>Novembre</t>
  </si>
  <si>
    <t>Desembre</t>
  </si>
  <si>
    <t xml:space="preserve">  ferits</t>
  </si>
  <si>
    <t>En zona urbana</t>
  </si>
  <si>
    <t>Nombre</t>
  </si>
  <si>
    <t>Accidents</t>
  </si>
  <si>
    <t>total</t>
  </si>
  <si>
    <t>amb</t>
  </si>
  <si>
    <t>Índex</t>
  </si>
  <si>
    <t>Tram</t>
  </si>
  <si>
    <t>d'accidents</t>
  </si>
  <si>
    <t>víctimes</t>
  </si>
  <si>
    <t>morts</t>
  </si>
  <si>
    <t>IF1</t>
  </si>
  <si>
    <t>IF2</t>
  </si>
  <si>
    <t>IF3</t>
  </si>
  <si>
    <t>IG1</t>
  </si>
  <si>
    <t>IG2</t>
  </si>
  <si>
    <t>Túnel de Vallvidrera</t>
  </si>
  <si>
    <t>Notes:</t>
  </si>
  <si>
    <t>IG1: Víctimes/accidents amb víctimes</t>
  </si>
  <si>
    <t>IG2: Morts/accidents amb víctimes</t>
  </si>
  <si>
    <t>Via</t>
  </si>
  <si>
    <t>Situació el 31 de desembre</t>
  </si>
  <si>
    <t>C-12</t>
  </si>
  <si>
    <t>C-14</t>
  </si>
  <si>
    <t>C-51</t>
  </si>
  <si>
    <t xml:space="preserve">Tractors </t>
  </si>
  <si>
    <t>Comarques</t>
  </si>
  <si>
    <t>i camions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</si>
  <si>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</si>
  <si>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</si>
  <si>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</si>
  <si>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</si>
  <si>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</si>
  <si>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</si>
  <si>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</si>
  <si>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</si>
  <si>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5.2.2</t>
  </si>
  <si>
    <t>5.2.1</t>
  </si>
  <si>
    <t>80.001 – 100.000 veh./dia</t>
  </si>
  <si>
    <t>&gt;100.000 veh./dia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</si>
  <si>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</si>
  <si>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</si>
  <si>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</si>
  <si>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</si>
  <si>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</si>
  <si>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</si>
  <si>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</si>
  <si>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</si>
  <si>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</si>
  <si>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</si>
  <si>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</si>
  <si>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C-45</t>
  </si>
  <si>
    <t>C-17</t>
  </si>
  <si>
    <t>50.001 – 80.000 veh./dia</t>
  </si>
  <si>
    <t>C-65</t>
  </si>
  <si>
    <t>C-31</t>
  </si>
  <si>
    <t>&lt;1.000 veh./dia</t>
  </si>
  <si>
    <t>5.2</t>
  </si>
  <si>
    <t>5.2.3</t>
  </si>
  <si>
    <t>5.2.4</t>
  </si>
  <si>
    <t>5.2.5</t>
  </si>
  <si>
    <t>5.2.6</t>
  </si>
  <si>
    <t>5.2.7</t>
  </si>
  <si>
    <t>5.2.8</t>
  </si>
  <si>
    <t>5.2.9</t>
  </si>
  <si>
    <t>C-16C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</si>
  <si>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</si>
  <si>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</si>
  <si>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</si>
  <si>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</si>
  <si>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</si>
  <si>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</si>
  <si>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</si>
  <si>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</si>
  <si>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</si>
  <si>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</si>
  <si>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</si>
  <si>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</si>
  <si>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</si>
  <si>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</si>
  <si>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</si>
  <si>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</si>
  <si>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</si>
  <si>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Cruïlles, Monells i Sant Sadurní de l'Heura</t>
  </si>
  <si>
    <t>Accidents amb víctimes</t>
  </si>
  <si>
    <t>Nre. víctimes mortals</t>
  </si>
  <si>
    <t xml:space="preserve">C-25 </t>
  </si>
  <si>
    <t xml:space="preserve">C-26 </t>
  </si>
  <si>
    <t>Any</t>
  </si>
  <si>
    <t>Ferits lleus</t>
  </si>
  <si>
    <t>Ferits greus</t>
  </si>
  <si>
    <t>C-15</t>
  </si>
  <si>
    <t>C-58</t>
  </si>
  <si>
    <t>C-55</t>
  </si>
  <si>
    <t>C-16</t>
  </si>
  <si>
    <t>C-44</t>
  </si>
  <si>
    <t xml:space="preserve">Sistema </t>
  </si>
  <si>
    <t>Manresa</t>
  </si>
  <si>
    <t>el Papiol (**)</t>
  </si>
  <si>
    <t>GI-600 (*)</t>
  </si>
  <si>
    <t>(*) Fins a juny de 2010: Montgat - Mataró - Palafolls</t>
  </si>
  <si>
    <t>(**) Trànsit zona peatge i lliure. Des de l'any 2001 tots els trànsits són gratuits</t>
  </si>
  <si>
    <t>total de</t>
  </si>
  <si>
    <t>Total de</t>
  </si>
  <si>
    <t>C-31B</t>
  </si>
  <si>
    <t>Situació a 31 de desembre</t>
  </si>
  <si>
    <t>C-31C</t>
  </si>
  <si>
    <t>C-32B</t>
  </si>
  <si>
    <t>Penedès</t>
  </si>
  <si>
    <t>No comarcalitzats</t>
  </si>
  <si>
    <t>Catalunya</t>
  </si>
  <si>
    <t>Camions i</t>
  </si>
  <si>
    <t>Autobusos</t>
  </si>
  <si>
    <t>Tractors</t>
  </si>
  <si>
    <t>Turismes</t>
  </si>
  <si>
    <t>Motos</t>
  </si>
  <si>
    <t>furgonetes</t>
  </si>
  <si>
    <t>industrials</t>
  </si>
  <si>
    <t>Altres</t>
  </si>
  <si>
    <t>Total</t>
  </si>
  <si>
    <t>Barcelona</t>
  </si>
  <si>
    <t>(p) Dades provisionals</t>
  </si>
  <si>
    <t>Nota: únicament s'inclouen els trams de carreteres en règim de concessió.</t>
  </si>
  <si>
    <t>Nre. Víctimes mortals</t>
  </si>
  <si>
    <t>Lleida-</t>
  </si>
  <si>
    <t>Moianès</t>
  </si>
  <si>
    <t>Freginals</t>
  </si>
  <si>
    <t>Fulleda</t>
  </si>
  <si>
    <t>Gaià</t>
  </si>
  <si>
    <t>Cens distribuit per sexe i província de residència</t>
  </si>
  <si>
    <t xml:space="preserve">5.2.20 Accidents de trànsit a les carreteres de la xarxa bàsica de la  </t>
  </si>
  <si>
    <t>continuació -&gt;</t>
  </si>
  <si>
    <t>(continuació --&gt; )</t>
  </si>
  <si>
    <t>demarcacions on estan matriculats (p)</t>
  </si>
  <si>
    <t xml:space="preserve">la Jonquera
</t>
  </si>
  <si>
    <t>(***)</t>
  </si>
  <si>
    <t>(***) A partir de 2016 Montmeló- La Jonquera (AP-7)</t>
  </si>
  <si>
    <t>Montgat-Blanes 
GI-600 (*)</t>
  </si>
  <si>
    <t>(**) A partir de 2016 Montmeló- La Jonquera (AP-7)</t>
  </si>
  <si>
    <t>Barcelona-la Jonquera (**)</t>
  </si>
  <si>
    <t>Trànsit registrat a les carreteres de la xarxa de la Generalitat de Catalunya, 2016. Catalunya</t>
  </si>
  <si>
    <t>Trànsit registrat a les carreteres de la xarxa de la Generalitat de Catalunya, 2016. Barcelona</t>
  </si>
  <si>
    <t>Trànsit registrat a les carreteres de la xarxa de la Generalitat de Catalunya, 2016. Girona</t>
  </si>
  <si>
    <t>Trànsit registrat a les carreteres de la xarxa de la Generalitat de Catalunya, 2016. Lleida</t>
  </si>
  <si>
    <t>Trànsit registrat a les carreteres de la xarxa de la Generalitat de Catalunya, 2016. Tarragona</t>
  </si>
  <si>
    <t>Trànsit registrat a les carreteres de la xarxa de la Generalitat de Catalunya, 2016. Terres de l'Ebre</t>
  </si>
  <si>
    <t>Trànsit registrat a les carreteres de la xarxa de la Generalitat de Catalunya, 2016. Carreteres en concessió</t>
  </si>
  <si>
    <t>5.2.8 Trànsit registrat a les carreteres de la xarxa de la Generalitat de Catalunya, 2016</t>
  </si>
  <si>
    <t>5.2.14 Trànsit registrat a les carreteres de la xarxa de la Generalitat de Catalunya, 2016</t>
  </si>
  <si>
    <t>5.2.9 Trànsit registrat a les carreteres de la xarxa de la Generalitat de Catalunya, 2016</t>
  </si>
  <si>
    <t>5.2.10 Trànsit registrat a les carreteres de la xarxa de la Generalitat de Catalunya, 2016</t>
  </si>
  <si>
    <t>5.2.11 Trànsit registrat a les carreteres de la xarxa de la Generalitat de Catalunya, 2016</t>
  </si>
  <si>
    <t>5.2.12 Trànsit registrat a les carreteres de la xarxa de la Generalitat de Catalunya, 2016</t>
  </si>
  <si>
    <t>5.2.13 Trànsit registrat a les carreteres de la xarxa de la Generalitat de Catalunya, 2016</t>
  </si>
  <si>
    <t>Font: IDESCAT, a partir de les dades de la DGT</t>
  </si>
  <si>
    <t xml:space="preserve">Autobusos </t>
  </si>
  <si>
    <t>Aran</t>
  </si>
  <si>
    <t>Nota: Les dades es presenten segons la distribució territorial actualment vigent, que són: 
- les 41 comarques i Aran (d'acord amb la Llei 4/2015, de creació de la comarca del Moianès, que també modifica territorialment les comarques del Bages, Osona i Vallès Oriental, i d'acord amb la Llei 1/2015, del règim especial d'Aran)
- els 8 àmbits territorials de planificació (d'acord amb la Llei 23/2010, de creació de l'àmbit del Penedès, i de l'Acord de Govern 21/2014, que modifica territorialment els àmbits del Penedès i les Comarques Centrals)</t>
  </si>
  <si>
    <t>Furgonetes i camions</t>
  </si>
  <si>
    <t>Autobusos i altres</t>
  </si>
  <si>
    <t>Ivorra</t>
  </si>
  <si>
    <t xml:space="preserve">Font: Direcció General d'Infraestructures de Mobilitat </t>
  </si>
  <si>
    <r>
      <t>Índex mortalitat</t>
    </r>
    <r>
      <rPr>
        <b/>
        <vertAlign val="superscript"/>
        <sz val="9"/>
        <rFont val="Arial"/>
        <family val="2"/>
      </rPr>
      <t>(2)</t>
    </r>
  </si>
  <si>
    <r>
      <t>Índex perillositat</t>
    </r>
    <r>
      <rPr>
        <b/>
        <vertAlign val="superscript"/>
        <sz val="9"/>
        <rFont val="Arial"/>
        <family val="2"/>
      </rPr>
      <t>(1)</t>
    </r>
  </si>
  <si>
    <t>(1) Índex de perillositat : nombre d'accidents amb víctimes per cada 100 milions de vehicles *km</t>
  </si>
  <si>
    <t>(2) Índex de mortalitat: nombre de víctimes mortals per cada 100 milions de vehicles *km</t>
  </si>
  <si>
    <t>Font: Direcció General d'Infraestructures de Mobilitat</t>
  </si>
  <si>
    <t>(p)</t>
  </si>
  <si>
    <r>
      <t>2017</t>
    </r>
    <r>
      <rPr>
        <b/>
        <vertAlign val="superscript"/>
        <sz val="9"/>
        <rFont val="Arial"/>
        <family val="2"/>
      </rPr>
      <t>(p)</t>
    </r>
  </si>
  <si>
    <t>Font: Direcció General d'Infraestructures de Mobilitat. Pla d'aforaments 2016 (últim any disponible)</t>
  </si>
  <si>
    <t>5.2.19 Accidents de trànsit a la xarxa de carreteres de la Generalitat, 1998 - 2018</t>
  </si>
  <si>
    <t>Generalitat de Catalunya, 2004- 2018</t>
  </si>
  <si>
    <t>5.2.15 Intensitat de circulació a les autopistes de Catalunya, 1970 - 2018</t>
  </si>
  <si>
    <t>5.2.16 Intensitat de circulació a les autopistes de Catalunya (mensual), 2003 - 2018</t>
  </si>
  <si>
    <t>5.2.17 Accidents de trànsit a les carreteres de Catalunya , 1993 - 2018</t>
  </si>
  <si>
    <t>5.2.18 Accidents de trànsit a les autopistes de Catalunya,  2018</t>
  </si>
  <si>
    <t>Intensitat de circulació a les autopistes de Catalunya, 1970 - 2018</t>
  </si>
  <si>
    <t>(*) No es disposaven de les dades definitives d'IMD de 2017 i 2018, i s'han utilitzat provisionalment les dades d'IMD de 2016</t>
  </si>
  <si>
    <t>Accidents de trànsit a la xarxa de carreteres de la Generalitat, 1998 - 2018</t>
  </si>
  <si>
    <t>Accidents de trànsit a la xarxa bàsica de carreteres de la Generalitat de Catalunya, 2004 - 2018</t>
  </si>
  <si>
    <t>Intensitat de circulació a les carreteres de la Generalitat, 2016 (Pla d'Aforaments)</t>
  </si>
  <si>
    <t>Alamús, els</t>
  </si>
  <si>
    <t>Albagés, l'</t>
  </si>
  <si>
    <t>Albi, l'</t>
  </si>
  <si>
    <t>Albiol, l'</t>
  </si>
  <si>
    <t>Aldea, l'</t>
  </si>
  <si>
    <t>Aleixar, l'</t>
  </si>
  <si>
    <t>Ametlla de Mar, l'</t>
  </si>
  <si>
    <t>Ametlla del Vallès, l'</t>
  </si>
  <si>
    <t>Ampolla, l'</t>
  </si>
  <si>
    <t>Arboç, l'</t>
  </si>
  <si>
    <t>Argentera, l'</t>
  </si>
  <si>
    <t>Armentera, l'</t>
  </si>
  <si>
    <t>Avellanes i Santa Linya, les</t>
  </si>
  <si>
    <t>Baronia de Rialb, la</t>
  </si>
  <si>
    <t>Bisbal d'Empordà, la</t>
  </si>
  <si>
    <t>Bisbal de Falset, la</t>
  </si>
  <si>
    <t>Bisbal del Penedès, la</t>
  </si>
  <si>
    <t>Borges Blanques, les</t>
  </si>
  <si>
    <t>Borges del Camp, les</t>
  </si>
  <si>
    <t>Bruc, el</t>
  </si>
  <si>
    <t>Brull, el</t>
  </si>
  <si>
    <t>Brunyola i Sant Martí Sapresa</t>
  </si>
  <si>
    <t>Cabanyes, les</t>
  </si>
  <si>
    <t>Calonge i Sant Antoni</t>
  </si>
  <si>
    <t>Canonja, la</t>
  </si>
  <si>
    <t>Catllar, el</t>
  </si>
  <si>
    <t>Cellera de Ter, la</t>
  </si>
  <si>
    <t>Cogul, el</t>
  </si>
  <si>
    <t>Coma i la Pedra, la</t>
  </si>
  <si>
    <t>Escala, l'</t>
  </si>
  <si>
    <t>Espluga Calba, l'</t>
  </si>
  <si>
    <t>Espluga de Francolí, l'</t>
  </si>
  <si>
    <t>Espunyola, l'</t>
  </si>
  <si>
    <t>Esquirol, l'</t>
  </si>
  <si>
    <t>Estany, l'</t>
  </si>
  <si>
    <t>Far d'Empordà, el</t>
  </si>
  <si>
    <t>Fatarella, la</t>
  </si>
  <si>
    <t>Febró, la</t>
  </si>
  <si>
    <t>Figuera, la</t>
  </si>
  <si>
    <t>Floresta, la</t>
  </si>
  <si>
    <t>Franqueses del Vallès, les</t>
  </si>
  <si>
    <t>Fuliola, la</t>
  </si>
  <si>
    <t>Galera, la</t>
  </si>
  <si>
    <t>Garidells, els</t>
  </si>
  <si>
    <t>Garriga, la</t>
  </si>
  <si>
    <t>Granada, la</t>
  </si>
  <si>
    <t>Granadella, la</t>
  </si>
  <si>
    <t>Granja d'Escarp, la</t>
  </si>
  <si>
    <t>Guiamets, els</t>
  </si>
  <si>
    <t>Guingueta d'Àneu, la</t>
  </si>
  <si>
    <t>Hospitalet de Llobregat, l'</t>
  </si>
  <si>
    <t>Hostalets de Pierola, els</t>
  </si>
  <si>
    <t>Jonquera, la</t>
  </si>
  <si>
    <t>Llacuna, la</t>
  </si>
  <si>
    <t>Llagosta, la</t>
  </si>
  <si>
    <t>Lloar, el</t>
  </si>
  <si>
    <t>Llosses, les</t>
  </si>
  <si>
    <t>Masies de Roda, les</t>
  </si>
  <si>
    <t>Masies de Voltregà, les</t>
  </si>
  <si>
    <t>Masnou, el</t>
  </si>
  <si>
    <t>Masó, la</t>
  </si>
  <si>
    <t>Masroig, el</t>
  </si>
  <si>
    <t>Milà, el</t>
  </si>
  <si>
    <t>Molar, el</t>
  </si>
  <si>
    <t>Molsosa, la</t>
  </si>
  <si>
    <t>Montmell, el</t>
  </si>
  <si>
    <t>Morell, el</t>
  </si>
  <si>
    <t>Morera de Montsant, la</t>
  </si>
  <si>
    <t>Nou de Berguedà, la</t>
  </si>
  <si>
    <t>Nou de Gaià, la</t>
  </si>
  <si>
    <t>Oluges, les</t>
  </si>
  <si>
    <t>Omellons, els</t>
  </si>
  <si>
    <t>Omells de na Gaia, els</t>
  </si>
  <si>
    <t>Palau d'Anglesola, el</t>
  </si>
  <si>
    <t>Pallaresos, els</t>
  </si>
  <si>
    <t>Palma d'Ebre, la</t>
  </si>
  <si>
    <t>Palma de Cervelló, la</t>
  </si>
  <si>
    <t>Papiol, el</t>
  </si>
  <si>
    <t>Pera, la</t>
  </si>
  <si>
    <t>Perelló, el</t>
  </si>
  <si>
    <t>Piles, les</t>
  </si>
  <si>
    <t>Pinell de Brai, el</t>
  </si>
  <si>
    <t>Pla de Santa Maria, el</t>
  </si>
  <si>
    <t>Pla del Penedès, el</t>
  </si>
  <si>
    <t>Planes d'Hostoles, les</t>
  </si>
  <si>
    <t>Plans de Sió, els</t>
  </si>
  <si>
    <t>Poal, el</t>
  </si>
  <si>
    <t>Pobla de Cérvoles, la</t>
  </si>
  <si>
    <t>Pobla de Claramunt, la</t>
  </si>
  <si>
    <t>Pobla de Lillet, la</t>
  </si>
  <si>
    <t>Pobla de Mafumet, la</t>
  </si>
  <si>
    <t>Pobla de Massaluca, la</t>
  </si>
  <si>
    <t>Pobla de Montornès, la</t>
  </si>
  <si>
    <t>Pobla de Segur, la</t>
  </si>
  <si>
    <t>Pont d'Armentera, el</t>
  </si>
  <si>
    <t>Pont de Bar, el</t>
  </si>
  <si>
    <t>Pont de Suert, el</t>
  </si>
  <si>
    <t>Pont de Vilomara i Rocafort, el</t>
  </si>
  <si>
    <t>Port de la Selva, el</t>
  </si>
  <si>
    <t>Portella, la</t>
  </si>
  <si>
    <t>Prat de Llobregat, el</t>
  </si>
  <si>
    <t>Prats de Rei, els</t>
  </si>
  <si>
    <t>Preses, les</t>
  </si>
  <si>
    <t>Quar, la</t>
  </si>
  <si>
    <t>Riba, la</t>
  </si>
  <si>
    <t>Riera de Gaià, la</t>
  </si>
  <si>
    <t>Roca del Vallès, la</t>
  </si>
  <si>
    <t>Rourell, el</t>
  </si>
  <si>
    <t>Secuita, la</t>
  </si>
  <si>
    <t>Selva de Mar, la</t>
  </si>
  <si>
    <t>Selva del Camp, la</t>
  </si>
  <si>
    <t>Sénia, la</t>
  </si>
  <si>
    <t>Sentiu de Sió, la</t>
  </si>
  <si>
    <t>Seu d'Urgell, la</t>
  </si>
  <si>
    <t>Soleràs, el</t>
  </si>
  <si>
    <t>Tallada d'Empordà, la</t>
  </si>
  <si>
    <t>Torms, els</t>
  </si>
  <si>
    <t>Torre de Cabdella, la</t>
  </si>
  <si>
    <t>Torre de Claramunt, la</t>
  </si>
  <si>
    <t>Torre de Fontaubella, la</t>
  </si>
  <si>
    <t>Torre de l'Espanyol, la</t>
  </si>
  <si>
    <t>Vajol, la</t>
  </si>
  <si>
    <t>Vall d'en Bas, la</t>
  </si>
  <si>
    <t>Vall de Bianya, la</t>
  </si>
  <si>
    <t>Vall de Boí, la</t>
  </si>
  <si>
    <t>Valls d'Aguilar, les</t>
  </si>
  <si>
    <t>Valls de Valira, les</t>
  </si>
  <si>
    <t>Vansa i Fórnols, la</t>
  </si>
  <si>
    <t>Vendrell, el</t>
  </si>
  <si>
    <t>Vilella Alta, la</t>
  </si>
  <si>
    <t>Vilella Baixa, la</t>
  </si>
  <si>
    <t>Vilosell, el</t>
  </si>
  <si>
    <t>5.2.1  Parc de vehicles per demarcacions territorials, 1988 - 2018</t>
  </si>
  <si>
    <t>Font: IDESCAT</t>
  </si>
  <si>
    <t>5.2.1  Parc de vehicles per demarcacions territorials, 1988 - 2018 (continuació)</t>
  </si>
  <si>
    <t>Parc de vehicles de Catalunya per comarques, 2018</t>
  </si>
  <si>
    <t>Parc de vehicles per municipis, 2018</t>
  </si>
  <si>
    <t>Dades de l'any 2016 i 2017 provisionals</t>
  </si>
  <si>
    <t>5.2.2 Parc de vehicles de Catalunya per comarques, 2018</t>
  </si>
  <si>
    <t>5.2.3 Parc de vehicles per municipis, 2018</t>
  </si>
  <si>
    <t>Dades provisionals</t>
  </si>
  <si>
    <t>Matriculació de vehicles, 2005 - 2019</t>
  </si>
  <si>
    <r>
      <t>2019</t>
    </r>
    <r>
      <rPr>
        <b/>
        <vertAlign val="superscript"/>
        <sz val="9"/>
        <rFont val="Arial MT"/>
        <family val="0"/>
      </rPr>
      <t>(p)</t>
    </r>
  </si>
  <si>
    <t>5.2.4 Matriculació de vehicles, 2005 - 2019</t>
  </si>
  <si>
    <t>5.2.5 Matriculació de vehicles: altes i baixes, 2018</t>
  </si>
  <si>
    <r>
      <t xml:space="preserve">Motos </t>
    </r>
    <r>
      <rPr>
        <b/>
        <vertAlign val="superscript"/>
        <sz val="9"/>
        <rFont val="Arial"/>
        <family val="2"/>
      </rPr>
      <t>(1)</t>
    </r>
  </si>
  <si>
    <t>(1) Motocicletes, motocarros i cotxes de discapacitats. S'inclouen els ciclomotors.</t>
  </si>
  <si>
    <t>Matriculació de vehicles: altes i baixes, 2018</t>
  </si>
  <si>
    <t>5.2.6 Cens de conductors de vehicles, 1986 - 2018</t>
  </si>
  <si>
    <t>Cens de conductors de vehicles, 1993 - 2018</t>
  </si>
  <si>
    <t>Parc de vehicles per demarcacions territorials, 1986 - 2018</t>
  </si>
  <si>
    <t>(dades a desembre 2018)</t>
  </si>
  <si>
    <t>Accidents de trànsit a les carreteres de Catalunya , 1998 - 2018</t>
  </si>
  <si>
    <t>IMD: Intensitat mitjana diària Dades de Cobrament</t>
  </si>
  <si>
    <t>Font: Subdirecció General de Seguiment amb les Empreses Gestores d'Infraestructures Viàries</t>
  </si>
  <si>
    <t>Intensitat de circulació a les autopistes de Catalunya (mensual), 2003 - 2018</t>
  </si>
  <si>
    <t>Soses-Mediterrani</t>
  </si>
  <si>
    <t>4,00</t>
  </si>
  <si>
    <t>6,93</t>
  </si>
  <si>
    <t>0,00</t>
  </si>
  <si>
    <t>1,73</t>
  </si>
  <si>
    <t>5,63</t>
  </si>
  <si>
    <t>8,85</t>
  </si>
  <si>
    <t>0,20</t>
  </si>
  <si>
    <t>1,57</t>
  </si>
  <si>
    <t>0,04</t>
  </si>
  <si>
    <t>7,24</t>
  </si>
  <si>
    <t>12,31</t>
  </si>
  <si>
    <t>1,70</t>
  </si>
  <si>
    <t>7,82</t>
  </si>
  <si>
    <t>12,12</t>
  </si>
  <si>
    <t>1,56</t>
  </si>
  <si>
    <t>1,55</t>
  </si>
  <si>
    <t>Accidents de trànsit a les autopistes de Catalunya, 2018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</si>
</sst>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General_)"/>
    <numFmt numFmtId="185" formatCode="0.000"/>
    <numFmt numFmtId="186" formatCode="0.0"/>
    <numFmt numFmtId="187" formatCode="0.0%"/>
    <numFmt numFmtId="188" formatCode="#,##0_);\(#,##0\)"/>
    <numFmt numFmtId="189" formatCode="###0"/>
    <numFmt numFmtId="190" formatCode="0.00_)"/>
    <numFmt numFmtId="191" formatCode="#,##0.000"/>
    <numFmt numFmtId="192" formatCode="#,##0.0"/>
    <numFmt numFmtId="193" formatCode="#,##0.0;;\-"/>
    <numFmt numFmtId="194" formatCode="#\ ###\ ##0.0;;\-"/>
    <numFmt numFmtId="195" formatCode="#\ ###"/>
    <numFmt numFmtId="196" formatCode="&quot;Sí&quot;;&quot;Sí&quot;;&quot;No&quot;"/>
    <numFmt numFmtId="197" formatCode="&quot;Cert&quot;;&quot;Cert&quot;;&quot;Fals&quot;"/>
    <numFmt numFmtId="198" formatCode="&quot;Activat&quot;;&quot;Activat&quot;;&quot;Desactivat&quot;"/>
    <numFmt numFmtId="199" formatCode="[$€-2]\ #.##000_);[Red]\([$€-2]\ #.##000\)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%"/>
    <numFmt numFmtId="204" formatCode="0.0000"/>
  </numFmts>
  <fonts count="85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11"/>
      <color indexed="48"/>
      <name val="Arial"/>
      <family val="2"/>
    </font>
    <font>
      <b/>
      <u val="single"/>
      <sz val="9"/>
      <name val="Arial"/>
      <family val="2"/>
    </font>
    <font>
      <sz val="9"/>
      <name val="Arial MT"/>
      <family val="0"/>
    </font>
    <font>
      <b/>
      <sz val="9"/>
      <name val="Arial MT"/>
      <family val="0"/>
    </font>
    <font>
      <sz val="11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5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name val="B Frutiger Bold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4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0"/>
      <color indexed="18"/>
      <name val="Arial"/>
      <family val="2"/>
    </font>
    <font>
      <b/>
      <vertAlign val="superscript"/>
      <sz val="9"/>
      <name val="Arial MT"/>
      <family val="0"/>
    </font>
    <font>
      <i/>
      <sz val="8"/>
      <name val="Arial"/>
      <family val="2"/>
    </font>
    <font>
      <b/>
      <vertAlign val="superscript"/>
      <sz val="9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56"/>
      <name val="Arial"/>
      <family val="2"/>
    </font>
    <font>
      <sz val="9"/>
      <color indexed="56"/>
      <name val="Arial MT"/>
      <family val="0"/>
    </font>
    <font>
      <sz val="10"/>
      <color indexed="10"/>
      <name val="Arial"/>
      <family val="2"/>
    </font>
    <font>
      <b/>
      <sz val="8"/>
      <color indexed="8"/>
      <name val="Lucida Sans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3"/>
      <name val="Arial"/>
      <family val="2"/>
    </font>
    <font>
      <sz val="9"/>
      <color theme="3"/>
      <name val="Arial MT"/>
      <family val="0"/>
    </font>
    <font>
      <sz val="10"/>
      <color rgb="FFFF0000"/>
      <name val="Arial"/>
      <family val="2"/>
    </font>
    <font>
      <b/>
      <sz val="8"/>
      <color rgb="FF000000"/>
      <name val="Lucida Sans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65" fillId="34" borderId="0" applyNumberFormat="0" applyBorder="0" applyAlignment="0" applyProtection="0"/>
    <xf numFmtId="1" fontId="28" fillId="0" borderId="0" applyNumberFormat="0">
      <alignment/>
      <protection/>
    </xf>
    <xf numFmtId="0" fontId="36" fillId="10" borderId="0" applyNumberFormat="0" applyBorder="0" applyAlignment="0" applyProtection="0"/>
    <xf numFmtId="0" fontId="66" fillId="35" borderId="1" applyNumberFormat="0" applyAlignment="0" applyProtection="0"/>
    <xf numFmtId="0" fontId="37" fillId="36" borderId="2" applyNumberFormat="0" applyAlignment="0" applyProtection="0"/>
    <xf numFmtId="0" fontId="67" fillId="37" borderId="3" applyNumberFormat="0" applyAlignment="0" applyProtection="0"/>
    <xf numFmtId="0" fontId="68" fillId="0" borderId="4" applyNumberFormat="0" applyFill="0" applyAlignment="0" applyProtection="0"/>
    <xf numFmtId="0" fontId="38" fillId="38" borderId="5" applyNumberFormat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48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0" fontId="41" fillId="13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9" fillId="49" borderId="0" applyNumberFormat="0" applyBorder="0" applyAlignment="0" applyProtection="0"/>
    <xf numFmtId="0" fontId="42" fillId="9" borderId="0" applyNumberFormat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184" fontId="13" fillId="0" borderId="0">
      <alignment/>
      <protection/>
    </xf>
    <xf numFmtId="0" fontId="15" fillId="0" borderId="0">
      <alignment/>
      <protection/>
    </xf>
    <xf numFmtId="0" fontId="0" fillId="51" borderId="7" applyNumberFormat="0" applyFont="0" applyAlignment="0" applyProtection="0"/>
    <xf numFmtId="0" fontId="0" fillId="52" borderId="8" applyNumberFormat="0" applyFont="0" applyAlignment="0" applyProtection="0"/>
    <xf numFmtId="0" fontId="0" fillId="52" borderId="8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35" borderId="9" applyNumberFormat="0" applyAlignment="0" applyProtection="0"/>
    <xf numFmtId="0" fontId="44" fillId="36" borderId="10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0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</cellStyleXfs>
  <cellXfs count="79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184" fontId="3" fillId="0" borderId="0" xfId="0" applyNumberFormat="1" applyFont="1" applyBorder="1" applyAlignment="1" applyProtection="1">
      <alignment horizontal="left"/>
      <protection locked="0"/>
    </xf>
    <xf numFmtId="18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184" fontId="3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4" fontId="2" fillId="0" borderId="18" xfId="0" applyNumberFormat="1" applyFont="1" applyBorder="1" applyAlignment="1" applyProtection="1">
      <alignment horizontal="left"/>
      <protection locked="0"/>
    </xf>
    <xf numFmtId="3" fontId="2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184" fontId="2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4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18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184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84" fontId="2" fillId="0" borderId="0" xfId="0" applyNumberFormat="1" applyFont="1" applyBorder="1" applyAlignment="1" applyProtection="1">
      <alignment horizontal="left"/>
      <protection locked="0"/>
    </xf>
    <xf numFmtId="184" fontId="2" fillId="0" borderId="18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84" fontId="12" fillId="0" borderId="0" xfId="97" applyFont="1" applyAlignment="1" applyProtection="1">
      <alignment horizontal="right"/>
      <protection locked="0"/>
    </xf>
    <xf numFmtId="184" fontId="12" fillId="0" borderId="0" xfId="97" applyFont="1" applyAlignment="1" applyProtection="1">
      <alignment/>
      <protection locked="0"/>
    </xf>
    <xf numFmtId="184" fontId="12" fillId="0" borderId="0" xfId="97" applyFont="1" applyProtection="1">
      <alignment/>
      <protection locked="0"/>
    </xf>
    <xf numFmtId="184" fontId="12" fillId="0" borderId="0" xfId="97" applyFont="1">
      <alignment/>
      <protection/>
    </xf>
    <xf numFmtId="184" fontId="3" fillId="0" borderId="0" xfId="97" applyFont="1" applyAlignment="1" applyProtection="1">
      <alignment horizontal="left"/>
      <protection locked="0"/>
    </xf>
    <xf numFmtId="184" fontId="3" fillId="0" borderId="0" xfId="97" applyFont="1" applyAlignment="1">
      <alignment horizontal="right"/>
      <protection/>
    </xf>
    <xf numFmtId="184" fontId="13" fillId="0" borderId="0" xfId="97" applyAlignment="1">
      <alignment horizontal="center" vertical="center"/>
      <protection/>
    </xf>
    <xf numFmtId="184" fontId="3" fillId="0" borderId="0" xfId="97" applyFont="1" applyAlignment="1">
      <alignment horizontal="center" vertical="center"/>
      <protection/>
    </xf>
    <xf numFmtId="184" fontId="3" fillId="0" borderId="0" xfId="97" applyFont="1" applyBorder="1" applyAlignment="1" applyProtection="1">
      <alignment horizontal="left"/>
      <protection locked="0"/>
    </xf>
    <xf numFmtId="184" fontId="3" fillId="0" borderId="0" xfId="97" applyFont="1" applyBorder="1" applyAlignment="1" applyProtection="1">
      <alignment horizontal="right"/>
      <protection locked="0"/>
    </xf>
    <xf numFmtId="184" fontId="13" fillId="0" borderId="0" xfId="97">
      <alignment/>
      <protection/>
    </xf>
    <xf numFmtId="3" fontId="3" fillId="0" borderId="0" xfId="97" applyNumberFormat="1" applyFont="1" applyAlignment="1" applyProtection="1">
      <alignment horizontal="right"/>
      <protection locked="0"/>
    </xf>
    <xf numFmtId="184" fontId="3" fillId="0" borderId="0" xfId="97" applyFont="1">
      <alignment/>
      <protection/>
    </xf>
    <xf numFmtId="184" fontId="3" fillId="0" borderId="0" xfId="97" applyFont="1" applyAlignment="1">
      <alignment horizontal="left"/>
      <protection/>
    </xf>
    <xf numFmtId="189" fontId="3" fillId="0" borderId="0" xfId="97" applyNumberFormat="1" applyFont="1" applyAlignment="1" applyProtection="1">
      <alignment horizontal="left"/>
      <protection locked="0"/>
    </xf>
    <xf numFmtId="189" fontId="3" fillId="0" borderId="0" xfId="97" applyNumberFormat="1" applyFont="1" applyAlignment="1" applyProtection="1">
      <alignment horizontal="left" vertical="center"/>
      <protection locked="0"/>
    </xf>
    <xf numFmtId="189" fontId="3" fillId="0" borderId="0" xfId="97" applyNumberFormat="1" applyFont="1" applyBorder="1" applyAlignment="1" applyProtection="1">
      <alignment horizontal="left"/>
      <protection locked="0"/>
    </xf>
    <xf numFmtId="184" fontId="13" fillId="0" borderId="0" xfId="97" applyBorder="1">
      <alignment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3" fillId="0" borderId="18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18" xfId="0" applyFont="1" applyBorder="1" applyAlignment="1">
      <alignment/>
    </xf>
    <xf numFmtId="3" fontId="10" fillId="0" borderId="0" xfId="0" applyNumberFormat="1" applyFont="1" applyAlignment="1">
      <alignment/>
    </xf>
    <xf numFmtId="191" fontId="2" fillId="0" borderId="0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3" fontId="21" fillId="0" borderId="0" xfId="97" applyNumberFormat="1" applyFont="1" applyAlignment="1" applyProtection="1">
      <alignment/>
      <protection locked="0"/>
    </xf>
    <xf numFmtId="3" fontId="21" fillId="0" borderId="0" xfId="97" applyNumberFormat="1" applyFont="1" applyAlignment="1">
      <alignment horizontal="right"/>
      <protection/>
    </xf>
    <xf numFmtId="191" fontId="2" fillId="0" borderId="18" xfId="0" applyNumberFormat="1" applyFont="1" applyBorder="1" applyAlignment="1">
      <alignment horizontal="right"/>
    </xf>
    <xf numFmtId="10" fontId="2" fillId="0" borderId="18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3" fontId="22" fillId="0" borderId="0" xfId="97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2" fillId="53" borderId="0" xfId="97" applyNumberFormat="1" applyFont="1" applyFill="1" applyAlignment="1" applyProtection="1">
      <alignment horizontal="right"/>
      <protection locked="0"/>
    </xf>
    <xf numFmtId="3" fontId="21" fillId="53" borderId="0" xfId="97" applyNumberFormat="1" applyFont="1" applyFill="1" applyAlignment="1">
      <alignment horizontal="right"/>
      <protection/>
    </xf>
    <xf numFmtId="0" fontId="2" fillId="53" borderId="0" xfId="0" applyFont="1" applyFill="1" applyAlignment="1">
      <alignment/>
    </xf>
    <xf numFmtId="0" fontId="23" fillId="0" borderId="0" xfId="0" applyFont="1" applyAlignment="1">
      <alignment horizontal="left"/>
    </xf>
    <xf numFmtId="184" fontId="24" fillId="0" borderId="0" xfId="0" applyNumberFormat="1" applyFont="1" applyAlignment="1" applyProtection="1">
      <alignment horizontal="left"/>
      <protection locked="0"/>
    </xf>
    <xf numFmtId="37" fontId="24" fillId="0" borderId="0" xfId="0" applyNumberFormat="1" applyFont="1" applyBorder="1" applyAlignment="1">
      <alignment/>
    </xf>
    <xf numFmtId="37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84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37" fontId="2" fillId="0" borderId="0" xfId="0" applyNumberFormat="1" applyFont="1" applyBorder="1" applyAlignment="1">
      <alignment horizontal="center"/>
    </xf>
    <xf numFmtId="184" fontId="2" fillId="0" borderId="18" xfId="0" applyNumberFormat="1" applyFont="1" applyBorder="1" applyAlignment="1" applyProtection="1">
      <alignment horizontal="center"/>
      <protection locked="0"/>
    </xf>
    <xf numFmtId="37" fontId="2" fillId="0" borderId="18" xfId="0" applyNumberFormat="1" applyFont="1" applyBorder="1" applyAlignment="1">
      <alignment horizontal="center"/>
    </xf>
    <xf numFmtId="184" fontId="2" fillId="0" borderId="0" xfId="0" applyNumberFormat="1" applyFont="1" applyBorder="1" applyAlignment="1" applyProtection="1">
      <alignment horizontal="center"/>
      <protection locked="0"/>
    </xf>
    <xf numFmtId="184" fontId="0" fillId="0" borderId="0" xfId="0" applyNumberFormat="1" applyFont="1" applyBorder="1" applyAlignment="1" applyProtection="1">
      <alignment horizontal="center"/>
      <protection locked="0"/>
    </xf>
    <xf numFmtId="37" fontId="0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3" fontId="24" fillId="0" borderId="0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>
      <alignment horizontal="center"/>
    </xf>
    <xf numFmtId="37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17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184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 applyBorder="1" applyAlignment="1" applyProtection="1">
      <alignment horizontal="right"/>
      <protection locked="0"/>
    </xf>
    <xf numFmtId="37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10" fontId="2" fillId="0" borderId="18" xfId="0" applyNumberFormat="1" applyFont="1" applyBorder="1" applyAlignment="1">
      <alignment horizontal="right"/>
    </xf>
    <xf numFmtId="185" fontId="2" fillId="0" borderId="18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5" fillId="0" borderId="0" xfId="0" applyNumberFormat="1" applyFont="1" applyBorder="1" applyAlignment="1" applyProtection="1">
      <alignment horizontal="right"/>
      <protection locked="0"/>
    </xf>
    <xf numFmtId="184" fontId="25" fillId="0" borderId="0" xfId="97" applyFont="1">
      <alignment/>
      <protection/>
    </xf>
    <xf numFmtId="3" fontId="3" fillId="0" borderId="0" xfId="0" applyNumberFormat="1" applyFont="1" applyBorder="1" applyAlignment="1">
      <alignment horizontal="right"/>
    </xf>
    <xf numFmtId="184" fontId="3" fillId="0" borderId="0" xfId="97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/>
    </xf>
    <xf numFmtId="0" fontId="3" fillId="53" borderId="0" xfId="0" applyFont="1" applyFill="1" applyAlignment="1">
      <alignment/>
    </xf>
    <xf numFmtId="0" fontId="5" fillId="53" borderId="0" xfId="0" applyFont="1" applyFill="1" applyAlignment="1">
      <alignment/>
    </xf>
    <xf numFmtId="0" fontId="7" fillId="53" borderId="0" xfId="0" applyFont="1" applyFill="1" applyAlignment="1">
      <alignment/>
    </xf>
    <xf numFmtId="3" fontId="2" fillId="53" borderId="0" xfId="0" applyNumberFormat="1" applyFont="1" applyFill="1" applyAlignment="1">
      <alignment horizontal="right"/>
    </xf>
    <xf numFmtId="3" fontId="2" fillId="53" borderId="0" xfId="0" applyNumberFormat="1" applyFont="1" applyFill="1" applyAlignment="1">
      <alignment/>
    </xf>
    <xf numFmtId="184" fontId="0" fillId="53" borderId="0" xfId="98" applyNumberFormat="1" applyFont="1" applyFill="1" applyAlignment="1" applyProtection="1">
      <alignment horizontal="left"/>
      <protection locked="0"/>
    </xf>
    <xf numFmtId="0" fontId="0" fillId="53" borderId="0" xfId="98" applyFont="1" applyFill="1" applyBorder="1" applyProtection="1">
      <alignment/>
      <protection locked="0"/>
    </xf>
    <xf numFmtId="0" fontId="29" fillId="53" borderId="0" xfId="0" applyFont="1" applyFill="1" applyAlignment="1">
      <alignment horizontal="right"/>
    </xf>
    <xf numFmtId="3" fontId="29" fillId="53" borderId="0" xfId="0" applyNumberFormat="1" applyFont="1" applyFill="1" applyAlignment="1">
      <alignment horizontal="right"/>
    </xf>
    <xf numFmtId="3" fontId="30" fillId="53" borderId="0" xfId="0" applyNumberFormat="1" applyFont="1" applyFill="1" applyAlignment="1">
      <alignment horizontal="right"/>
    </xf>
    <xf numFmtId="3" fontId="21" fillId="53" borderId="0" xfId="0" applyNumberFormat="1" applyFont="1" applyFill="1" applyAlignment="1">
      <alignment horizontal="right"/>
    </xf>
    <xf numFmtId="3" fontId="22" fillId="53" borderId="0" xfId="0" applyNumberFormat="1" applyFont="1" applyFill="1" applyAlignment="1">
      <alignment horizontal="right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justify"/>
    </xf>
    <xf numFmtId="10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184" fontId="3" fillId="53" borderId="0" xfId="97" applyFont="1" applyFill="1" applyBorder="1" applyAlignment="1" applyProtection="1">
      <alignment horizontal="left"/>
      <protection locked="0"/>
    </xf>
    <xf numFmtId="3" fontId="21" fillId="53" borderId="0" xfId="97" applyNumberFormat="1" applyFont="1" applyFill="1" applyAlignment="1" quotePrefix="1">
      <alignment horizontal="right"/>
      <protection/>
    </xf>
    <xf numFmtId="0" fontId="1" fillId="53" borderId="0" xfId="0" applyFont="1" applyFill="1" applyAlignment="1">
      <alignment/>
    </xf>
    <xf numFmtId="0" fontId="2" fillId="53" borderId="0" xfId="0" applyFont="1" applyFill="1" applyAlignment="1">
      <alignment/>
    </xf>
    <xf numFmtId="0" fontId="2" fillId="0" borderId="0" xfId="0" applyFont="1" applyAlignment="1" applyProtection="1">
      <alignment horizontal="left"/>
      <protection locked="0"/>
    </xf>
    <xf numFmtId="3" fontId="0" fillId="0" borderId="0" xfId="0" applyNumberForma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3" fontId="2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1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8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/>
    </xf>
    <xf numFmtId="10" fontId="2" fillId="0" borderId="0" xfId="103" applyNumberFormat="1" applyFont="1" applyFill="1" applyBorder="1" applyAlignment="1">
      <alignment/>
    </xf>
    <xf numFmtId="10" fontId="2" fillId="0" borderId="0" xfId="103" applyNumberFormat="1" applyFont="1" applyFill="1" applyBorder="1" applyAlignment="1">
      <alignment/>
    </xf>
    <xf numFmtId="10" fontId="2" fillId="0" borderId="0" xfId="103" applyNumberFormat="1" applyFont="1" applyFill="1" applyBorder="1" applyAlignment="1">
      <alignment vertical="center"/>
    </xf>
    <xf numFmtId="184" fontId="12" fillId="53" borderId="0" xfId="97" applyFont="1" applyFill="1">
      <alignment/>
      <protection/>
    </xf>
    <xf numFmtId="184" fontId="3" fillId="53" borderId="0" xfId="97" applyFont="1" applyFill="1" applyAlignment="1">
      <alignment horizontal="right"/>
      <protection/>
    </xf>
    <xf numFmtId="184" fontId="3" fillId="53" borderId="0" xfId="97" applyFont="1" applyFill="1" applyBorder="1" applyAlignment="1" applyProtection="1">
      <alignment horizontal="center" vertical="center" wrapText="1"/>
      <protection locked="0"/>
    </xf>
    <xf numFmtId="184" fontId="13" fillId="53" borderId="0" xfId="97" applyFill="1" applyAlignment="1">
      <alignment horizontal="center" vertical="center"/>
      <protection/>
    </xf>
    <xf numFmtId="184" fontId="13" fillId="53" borderId="0" xfId="97" applyFill="1">
      <alignment/>
      <protection/>
    </xf>
    <xf numFmtId="184" fontId="3" fillId="53" borderId="0" xfId="97" applyFont="1" applyFill="1">
      <alignment/>
      <protection/>
    </xf>
    <xf numFmtId="3" fontId="3" fillId="53" borderId="0" xfId="97" applyNumberFormat="1" applyFont="1" applyFill="1" applyAlignment="1" applyProtection="1">
      <alignment horizontal="right"/>
      <protection locked="0"/>
    </xf>
    <xf numFmtId="184" fontId="25" fillId="53" borderId="0" xfId="97" applyFont="1" applyFill="1">
      <alignment/>
      <protection/>
    </xf>
    <xf numFmtId="0" fontId="24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52" fillId="0" borderId="0" xfId="0" applyFont="1" applyAlignment="1">
      <alignment/>
    </xf>
    <xf numFmtId="0" fontId="33" fillId="53" borderId="0" xfId="0" applyFont="1" applyFill="1" applyAlignment="1">
      <alignment/>
    </xf>
    <xf numFmtId="1" fontId="3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9" fillId="53" borderId="18" xfId="0" applyNumberFormat="1" applyFont="1" applyFill="1" applyBorder="1" applyAlignment="1">
      <alignment horizontal="right"/>
    </xf>
    <xf numFmtId="3" fontId="30" fillId="53" borderId="18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186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 applyProtection="1">
      <alignment horizontal="right"/>
      <protection/>
    </xf>
    <xf numFmtId="0" fontId="8" fillId="0" borderId="0" xfId="74" applyAlignment="1" applyProtection="1">
      <alignment/>
      <protection/>
    </xf>
    <xf numFmtId="3" fontId="21" fillId="0" borderId="0" xfId="97" applyNumberFormat="1" applyFont="1" applyBorder="1" applyAlignment="1">
      <alignment horizontal="right"/>
      <protection/>
    </xf>
    <xf numFmtId="3" fontId="21" fillId="53" borderId="0" xfId="97" applyNumberFormat="1" applyFont="1" applyFill="1" applyBorder="1" applyAlignment="1" quotePrefix="1">
      <alignment horizontal="right"/>
      <protection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53" borderId="0" xfId="0" applyNumberFormat="1" applyFont="1" applyFill="1" applyAlignment="1">
      <alignment horizontal="right"/>
    </xf>
    <xf numFmtId="0" fontId="2" fillId="53" borderId="0" xfId="0" applyFont="1" applyFill="1" applyAlignment="1">
      <alignment horizontal="right"/>
    </xf>
    <xf numFmtId="0" fontId="2" fillId="0" borderId="0" xfId="0" applyFont="1" applyAlignment="1" quotePrefix="1">
      <alignment/>
    </xf>
    <xf numFmtId="3" fontId="77" fillId="53" borderId="0" xfId="0" applyNumberFormat="1" applyFont="1" applyFill="1" applyAlignment="1">
      <alignment horizontal="right"/>
    </xf>
    <xf numFmtId="0" fontId="77" fillId="53" borderId="0" xfId="0" applyFont="1" applyFill="1" applyAlignment="1">
      <alignment horizontal="right"/>
    </xf>
    <xf numFmtId="3" fontId="77" fillId="53" borderId="0" xfId="0" applyNumberFormat="1" applyFont="1" applyFill="1" applyAlignment="1">
      <alignment/>
    </xf>
    <xf numFmtId="3" fontId="78" fillId="53" borderId="18" xfId="0" applyNumberFormat="1" applyFont="1" applyFill="1" applyBorder="1" applyAlignment="1">
      <alignment vertical="center"/>
    </xf>
    <xf numFmtId="0" fontId="2" fillId="53" borderId="0" xfId="0" applyFont="1" applyFill="1" applyAlignment="1">
      <alignment horizontal="right"/>
    </xf>
    <xf numFmtId="3" fontId="2" fillId="53" borderId="1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25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Alignment="1" applyProtection="1">
      <alignment/>
      <protection/>
    </xf>
    <xf numFmtId="0" fontId="3" fillId="0" borderId="18" xfId="0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184" fontId="1" fillId="0" borderId="0" xfId="97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186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 quotePrefix="1">
      <alignment horizontal="right" wrapText="1"/>
    </xf>
    <xf numFmtId="0" fontId="2" fillId="0" borderId="0" xfId="0" applyFont="1" applyAlignment="1" quotePrefix="1">
      <alignment horizontal="right" wrapText="1"/>
    </xf>
    <xf numFmtId="0" fontId="2" fillId="0" borderId="0" xfId="0" applyFont="1" applyFill="1" applyAlignment="1" quotePrefix="1">
      <alignment horizontal="right" wrapText="1"/>
    </xf>
    <xf numFmtId="0" fontId="2" fillId="0" borderId="0" xfId="0" applyFont="1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74" applyFill="1" applyAlignment="1" applyProtection="1">
      <alignment/>
      <protection/>
    </xf>
    <xf numFmtId="184" fontId="2" fillId="0" borderId="0" xfId="97" applyFont="1">
      <alignment/>
      <protection/>
    </xf>
    <xf numFmtId="184" fontId="2" fillId="53" borderId="0" xfId="97" applyFont="1" applyFill="1">
      <alignment/>
      <protection/>
    </xf>
    <xf numFmtId="184" fontId="2" fillId="0" borderId="0" xfId="97" applyFont="1" applyAlignment="1">
      <alignment/>
      <protection/>
    </xf>
    <xf numFmtId="184" fontId="2" fillId="0" borderId="0" xfId="97" applyFont="1" applyAlignment="1">
      <alignment horizontal="right"/>
      <protection/>
    </xf>
    <xf numFmtId="184" fontId="2" fillId="0" borderId="0" xfId="97" applyFont="1" applyProtection="1">
      <alignment/>
      <protection locked="0"/>
    </xf>
    <xf numFmtId="184" fontId="2" fillId="0" borderId="0" xfId="97" applyFont="1" applyAlignment="1" applyProtection="1">
      <alignment/>
      <protection locked="0"/>
    </xf>
    <xf numFmtId="184" fontId="2" fillId="0" borderId="0" xfId="97" applyFont="1" applyAlignment="1" applyProtection="1">
      <alignment horizontal="right"/>
      <protection locked="0"/>
    </xf>
    <xf numFmtId="184" fontId="2" fillId="0" borderId="0" xfId="97" applyFont="1" applyBorder="1" applyAlignment="1" applyProtection="1">
      <alignment/>
      <protection locked="0"/>
    </xf>
    <xf numFmtId="184" fontId="2" fillId="0" borderId="0" xfId="97" applyFont="1" applyBorder="1" applyAlignment="1" applyProtection="1">
      <alignment horizontal="right"/>
      <protection locked="0"/>
    </xf>
    <xf numFmtId="3" fontId="2" fillId="0" borderId="0" xfId="97" applyNumberFormat="1" applyFont="1" applyBorder="1" applyAlignment="1" applyProtection="1">
      <alignment/>
      <protection locked="0"/>
    </xf>
    <xf numFmtId="3" fontId="2" fillId="0" borderId="0" xfId="97" applyNumberFormat="1" applyFont="1" applyBorder="1" applyAlignment="1" applyProtection="1">
      <alignment horizontal="right"/>
      <protection locked="0"/>
    </xf>
    <xf numFmtId="3" fontId="2" fillId="0" borderId="0" xfId="97" applyNumberFormat="1" applyFont="1" applyAlignment="1" applyProtection="1">
      <alignment horizontal="right"/>
      <protection locked="0"/>
    </xf>
    <xf numFmtId="188" fontId="2" fillId="0" borderId="0" xfId="97" applyNumberFormat="1" applyFont="1" applyProtection="1">
      <alignment/>
      <protection locked="0"/>
    </xf>
    <xf numFmtId="3" fontId="2" fillId="0" borderId="0" xfId="97" applyNumberFormat="1" applyFont="1" applyAlignment="1" applyProtection="1">
      <alignment/>
      <protection locked="0"/>
    </xf>
    <xf numFmtId="184" fontId="2" fillId="53" borderId="0" xfId="97" applyFont="1" applyFill="1" applyBorder="1">
      <alignment/>
      <protection/>
    </xf>
    <xf numFmtId="184" fontId="2" fillId="0" borderId="0" xfId="97" applyFont="1" applyBorder="1">
      <alignment/>
      <protection/>
    </xf>
    <xf numFmtId="184" fontId="2" fillId="0" borderId="0" xfId="97" applyFont="1" applyBorder="1" applyProtection="1">
      <alignment/>
      <protection locked="0"/>
    </xf>
    <xf numFmtId="189" fontId="2" fillId="0" borderId="0" xfId="97" applyNumberFormat="1" applyFont="1" applyBorder="1" applyAlignment="1" applyProtection="1">
      <alignment horizontal="left" vertical="center"/>
      <protection locked="0"/>
    </xf>
    <xf numFmtId="3" fontId="2" fillId="53" borderId="0" xfId="97" applyNumberFormat="1" applyFont="1" applyFill="1">
      <alignment/>
      <protection/>
    </xf>
    <xf numFmtId="3" fontId="2" fillId="0" borderId="0" xfId="97" applyNumberFormat="1" applyFont="1">
      <alignment/>
      <protection/>
    </xf>
    <xf numFmtId="3" fontId="2" fillId="0" borderId="0" xfId="97" applyNumberFormat="1" applyFont="1" applyAlignment="1">
      <alignment horizontal="right"/>
      <protection/>
    </xf>
    <xf numFmtId="3" fontId="2" fillId="53" borderId="0" xfId="97" applyNumberFormat="1" applyFont="1" applyFill="1" applyBorder="1">
      <alignment/>
      <protection/>
    </xf>
    <xf numFmtId="184" fontId="3" fillId="0" borderId="18" xfId="97" applyFont="1" applyBorder="1" applyAlignment="1" applyProtection="1">
      <alignment horizontal="left"/>
      <protection locked="0"/>
    </xf>
    <xf numFmtId="3" fontId="2" fillId="53" borderId="0" xfId="97" applyNumberFormat="1" applyFont="1" applyFill="1" applyAlignment="1" applyProtection="1">
      <alignment horizontal="right"/>
      <protection locked="0"/>
    </xf>
    <xf numFmtId="3" fontId="2" fillId="53" borderId="0" xfId="97" applyNumberFormat="1" applyFont="1" applyFill="1" applyAlignment="1">
      <alignment horizontal="right"/>
      <protection/>
    </xf>
    <xf numFmtId="3" fontId="2" fillId="53" borderId="0" xfId="97" applyNumberFormat="1" applyFont="1" applyFill="1" applyAlignment="1" applyProtection="1">
      <alignment/>
      <protection locked="0"/>
    </xf>
    <xf numFmtId="3" fontId="2" fillId="0" borderId="0" xfId="97" applyNumberFormat="1" applyFont="1" applyBorder="1">
      <alignment/>
      <protection/>
    </xf>
    <xf numFmtId="3" fontId="2" fillId="0" borderId="0" xfId="97" applyNumberFormat="1" applyFont="1" applyFill="1">
      <alignment/>
      <protection/>
    </xf>
    <xf numFmtId="3" fontId="2" fillId="0" borderId="0" xfId="97" applyNumberFormat="1" applyFont="1" applyFill="1" applyAlignment="1" applyProtection="1">
      <alignment horizontal="right"/>
      <protection locked="0"/>
    </xf>
    <xf numFmtId="3" fontId="2" fillId="0" borderId="0" xfId="97" applyNumberFormat="1" applyFont="1" applyFill="1" applyAlignment="1">
      <alignment horizontal="right"/>
      <protection/>
    </xf>
    <xf numFmtId="3" fontId="2" fillId="0" borderId="0" xfId="97" applyNumberFormat="1" applyFont="1" applyFill="1" applyAlignment="1" applyProtection="1">
      <alignment/>
      <protection locked="0"/>
    </xf>
    <xf numFmtId="3" fontId="2" fillId="53" borderId="0" xfId="97" applyNumberFormat="1" applyFont="1" applyFill="1" applyAlignment="1" quotePrefix="1">
      <alignment horizontal="right"/>
      <protection/>
    </xf>
    <xf numFmtId="3" fontId="2" fillId="0" borderId="0" xfId="97" applyNumberFormat="1" applyFont="1" applyFill="1" applyAlignment="1" quotePrefix="1">
      <alignment horizontal="right"/>
      <protection/>
    </xf>
    <xf numFmtId="3" fontId="2" fillId="0" borderId="0" xfId="97" applyNumberFormat="1" applyFont="1" applyAlignment="1" quotePrefix="1">
      <alignment horizontal="right"/>
      <protection/>
    </xf>
    <xf numFmtId="184" fontId="2" fillId="53" borderId="0" xfId="97" applyFont="1" applyFill="1" applyAlignment="1" quotePrefix="1">
      <alignment horizontal="right"/>
      <protection/>
    </xf>
    <xf numFmtId="184" fontId="2" fillId="0" borderId="0" xfId="97" applyFont="1" applyAlignment="1" quotePrefix="1">
      <alignment horizontal="right"/>
      <protection/>
    </xf>
    <xf numFmtId="184" fontId="3" fillId="53" borderId="0" xfId="97" applyFont="1" applyFill="1" applyAlignment="1" quotePrefix="1">
      <alignment horizontal="right"/>
      <protection/>
    </xf>
    <xf numFmtId="184" fontId="3" fillId="0" borderId="0" xfId="97" applyFont="1" applyAlignment="1" quotePrefix="1">
      <alignment horizontal="right"/>
      <protection/>
    </xf>
    <xf numFmtId="184" fontId="2" fillId="0" borderId="18" xfId="97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left"/>
      <protection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3" fillId="54" borderId="19" xfId="0" applyFont="1" applyFill="1" applyBorder="1" applyAlignment="1" applyProtection="1">
      <alignment/>
      <protection locked="0"/>
    </xf>
    <xf numFmtId="1" fontId="3" fillId="54" borderId="19" xfId="0" applyNumberFormat="1" applyFont="1" applyFill="1" applyBorder="1" applyAlignment="1" applyProtection="1">
      <alignment/>
      <protection locked="0"/>
    </xf>
    <xf numFmtId="1" fontId="3" fillId="54" borderId="19" xfId="0" applyNumberFormat="1" applyFont="1" applyFill="1" applyBorder="1" applyAlignment="1">
      <alignment/>
    </xf>
    <xf numFmtId="0" fontId="3" fillId="54" borderId="19" xfId="0" applyFont="1" applyFill="1" applyBorder="1" applyAlignment="1">
      <alignment/>
    </xf>
    <xf numFmtId="0" fontId="11" fillId="54" borderId="19" xfId="0" applyFont="1" applyFill="1" applyBorder="1" applyAlignment="1">
      <alignment/>
    </xf>
    <xf numFmtId="184" fontId="3" fillId="54" borderId="19" xfId="0" applyNumberFormat="1" applyFont="1" applyFill="1" applyBorder="1" applyAlignment="1" applyProtection="1">
      <alignment horizontal="left" vertical="center"/>
      <protection locked="0"/>
    </xf>
    <xf numFmtId="37" fontId="3" fillId="54" borderId="19" xfId="0" applyNumberFormat="1" applyFont="1" applyFill="1" applyBorder="1" applyAlignment="1" applyProtection="1">
      <alignment vertical="center"/>
      <protection locked="0"/>
    </xf>
    <xf numFmtId="3" fontId="3" fillId="54" borderId="19" xfId="0" applyNumberFormat="1" applyFont="1" applyFill="1" applyBorder="1" applyAlignment="1" applyProtection="1">
      <alignment vertical="center"/>
      <protection locked="0"/>
    </xf>
    <xf numFmtId="3" fontId="3" fillId="54" borderId="19" xfId="0" applyNumberFormat="1" applyFont="1" applyFill="1" applyBorder="1" applyAlignment="1">
      <alignment vertical="center"/>
    </xf>
    <xf numFmtId="184" fontId="2" fillId="55" borderId="0" xfId="0" applyNumberFormat="1" applyFont="1" applyFill="1" applyAlignment="1" applyProtection="1">
      <alignment horizontal="left"/>
      <protection locked="0"/>
    </xf>
    <xf numFmtId="37" fontId="2" fillId="55" borderId="0" xfId="0" applyNumberFormat="1" applyFont="1" applyFill="1" applyAlignment="1" applyProtection="1">
      <alignment/>
      <protection locked="0"/>
    </xf>
    <xf numFmtId="3" fontId="2" fillId="55" borderId="0" xfId="0" applyNumberFormat="1" applyFont="1" applyFill="1" applyAlignment="1" applyProtection="1">
      <alignment/>
      <protection locked="0"/>
    </xf>
    <xf numFmtId="3" fontId="2" fillId="55" borderId="0" xfId="0" applyNumberFormat="1" applyFont="1" applyFill="1" applyAlignment="1">
      <alignment/>
    </xf>
    <xf numFmtId="3" fontId="10" fillId="55" borderId="0" xfId="0" applyNumberFormat="1" applyFont="1" applyFill="1" applyAlignment="1">
      <alignment/>
    </xf>
    <xf numFmtId="184" fontId="79" fillId="0" borderId="0" xfId="0" applyNumberFormat="1" applyFont="1" applyAlignment="1" applyProtection="1">
      <alignment horizontal="left"/>
      <protection locked="0"/>
    </xf>
    <xf numFmtId="37" fontId="79" fillId="0" borderId="0" xfId="0" applyNumberFormat="1" applyFont="1" applyAlignment="1" applyProtection="1">
      <alignment/>
      <protection locked="0"/>
    </xf>
    <xf numFmtId="3" fontId="79" fillId="0" borderId="0" xfId="0" applyNumberFormat="1" applyFont="1" applyAlignment="1" applyProtection="1">
      <alignment/>
      <protection locked="0"/>
    </xf>
    <xf numFmtId="3" fontId="79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0" fontId="80" fillId="0" borderId="0" xfId="0" applyFont="1" applyAlignment="1">
      <alignment/>
    </xf>
    <xf numFmtId="184" fontId="3" fillId="54" borderId="20" xfId="0" applyNumberFormat="1" applyFont="1" applyFill="1" applyBorder="1" applyAlignment="1" applyProtection="1">
      <alignment horizontal="left"/>
      <protection locked="0"/>
    </xf>
    <xf numFmtId="0" fontId="5" fillId="54" borderId="20" xfId="0" applyFont="1" applyFill="1" applyBorder="1" applyAlignment="1">
      <alignment/>
    </xf>
    <xf numFmtId="184" fontId="3" fillId="54" borderId="20" xfId="0" applyNumberFormat="1" applyFont="1" applyFill="1" applyBorder="1" applyAlignment="1" applyProtection="1">
      <alignment horizontal="right"/>
      <protection locked="0"/>
    </xf>
    <xf numFmtId="0" fontId="3" fillId="54" borderId="18" xfId="0" applyFont="1" applyFill="1" applyBorder="1" applyAlignment="1" applyProtection="1">
      <alignment/>
      <protection locked="0"/>
    </xf>
    <xf numFmtId="184" fontId="3" fillId="54" borderId="18" xfId="0" applyNumberFormat="1" applyFont="1" applyFill="1" applyBorder="1" applyAlignment="1" applyProtection="1">
      <alignment horizontal="right"/>
      <protection locked="0"/>
    </xf>
    <xf numFmtId="0" fontId="3" fillId="54" borderId="20" xfId="0" applyFont="1" applyFill="1" applyBorder="1" applyAlignment="1">
      <alignment/>
    </xf>
    <xf numFmtId="0" fontId="3" fillId="54" borderId="19" xfId="0" applyFont="1" applyFill="1" applyBorder="1" applyAlignment="1" applyProtection="1">
      <alignment horizontal="centerContinuous"/>
      <protection/>
    </xf>
    <xf numFmtId="0" fontId="3" fillId="54" borderId="19" xfId="0" applyFont="1" applyFill="1" applyBorder="1" applyAlignment="1">
      <alignment horizontal="centerContinuous"/>
    </xf>
    <xf numFmtId="0" fontId="3" fillId="54" borderId="18" xfId="0" applyFont="1" applyFill="1" applyBorder="1" applyAlignment="1" applyProtection="1">
      <alignment horizontal="left"/>
      <protection/>
    </xf>
    <xf numFmtId="0" fontId="3" fillId="54" borderId="18" xfId="0" applyFont="1" applyFill="1" applyBorder="1" applyAlignment="1" applyProtection="1">
      <alignment horizontal="right"/>
      <protection/>
    </xf>
    <xf numFmtId="3" fontId="3" fillId="0" borderId="18" xfId="0" applyNumberFormat="1" applyFont="1" applyBorder="1" applyAlignment="1">
      <alignment/>
    </xf>
    <xf numFmtId="3" fontId="2" fillId="0" borderId="18" xfId="0" applyNumberFormat="1" applyFont="1" applyBorder="1" applyAlignment="1" applyProtection="1">
      <alignment/>
      <protection locked="0"/>
    </xf>
    <xf numFmtId="0" fontId="3" fillId="54" borderId="0" xfId="0" applyFont="1" applyFill="1" applyBorder="1" applyAlignment="1" applyProtection="1">
      <alignment horizontal="left"/>
      <protection locked="0"/>
    </xf>
    <xf numFmtId="0" fontId="3" fillId="54" borderId="18" xfId="0" applyFont="1" applyFill="1" applyBorder="1" applyAlignment="1">
      <alignment horizontal="centerContinuous"/>
    </xf>
    <xf numFmtId="0" fontId="2" fillId="54" borderId="18" xfId="0" applyFont="1" applyFill="1" applyBorder="1" applyAlignment="1">
      <alignment horizontal="centerContinuous"/>
    </xf>
    <xf numFmtId="184" fontId="3" fillId="54" borderId="0" xfId="0" applyNumberFormat="1" applyFont="1" applyFill="1" applyBorder="1" applyAlignment="1" applyProtection="1">
      <alignment horizontal="left"/>
      <protection locked="0"/>
    </xf>
    <xf numFmtId="0" fontId="4" fillId="54" borderId="0" xfId="0" applyFont="1" applyFill="1" applyBorder="1" applyAlignment="1">
      <alignment/>
    </xf>
    <xf numFmtId="0" fontId="3" fillId="54" borderId="20" xfId="0" applyFont="1" applyFill="1" applyBorder="1" applyAlignment="1">
      <alignment horizontal="right"/>
    </xf>
    <xf numFmtId="184" fontId="3" fillId="54" borderId="0" xfId="0" applyNumberFormat="1" applyFont="1" applyFill="1" applyBorder="1" applyAlignment="1" applyProtection="1">
      <alignment horizontal="right"/>
      <protection locked="0"/>
    </xf>
    <xf numFmtId="184" fontId="3" fillId="54" borderId="18" xfId="0" applyNumberFormat="1" applyFont="1" applyFill="1" applyBorder="1" applyAlignment="1" applyProtection="1">
      <alignment horizontal="left"/>
      <protection locked="0"/>
    </xf>
    <xf numFmtId="0" fontId="3" fillId="54" borderId="18" xfId="0" applyFont="1" applyFill="1" applyBorder="1" applyAlignment="1">
      <alignment horizontal="right"/>
    </xf>
    <xf numFmtId="184" fontId="3" fillId="54" borderId="18" xfId="0" applyNumberFormat="1" applyFont="1" applyFill="1" applyBorder="1" applyAlignment="1" applyProtection="1">
      <alignment horizontal="center"/>
      <protection locked="0"/>
    </xf>
    <xf numFmtId="184" fontId="3" fillId="55" borderId="0" xfId="0" applyNumberFormat="1" applyFont="1" applyFill="1" applyAlignment="1" applyProtection="1">
      <alignment horizontal="left"/>
      <protection locked="0"/>
    </xf>
    <xf numFmtId="3" fontId="2" fillId="55" borderId="0" xfId="0" applyNumberFormat="1" applyFont="1" applyFill="1" applyAlignment="1" applyProtection="1">
      <alignment/>
      <protection locked="0"/>
    </xf>
    <xf numFmtId="3" fontId="22" fillId="55" borderId="0" xfId="0" applyNumberFormat="1" applyFont="1" applyFill="1" applyAlignment="1">
      <alignment horizontal="right"/>
    </xf>
    <xf numFmtId="3" fontId="2" fillId="55" borderId="0" xfId="0" applyNumberFormat="1" applyFont="1" applyFill="1" applyAlignment="1" applyProtection="1">
      <alignment/>
      <protection/>
    </xf>
    <xf numFmtId="3" fontId="2" fillId="55" borderId="0" xfId="0" applyNumberFormat="1" applyFont="1" applyFill="1" applyAlignment="1" applyProtection="1">
      <alignment horizontal="right"/>
      <protection locked="0"/>
    </xf>
    <xf numFmtId="1" fontId="3" fillId="55" borderId="0" xfId="0" applyNumberFormat="1" applyFont="1" applyFill="1" applyAlignment="1">
      <alignment horizontal="left"/>
    </xf>
    <xf numFmtId="3" fontId="21" fillId="55" borderId="0" xfId="0" applyNumberFormat="1" applyFont="1" applyFill="1" applyAlignment="1">
      <alignment horizontal="right"/>
    </xf>
    <xf numFmtId="3" fontId="2" fillId="55" borderId="0" xfId="0" applyNumberFormat="1" applyFont="1" applyFill="1" applyAlignment="1">
      <alignment/>
    </xf>
    <xf numFmtId="3" fontId="2" fillId="55" borderId="0" xfId="0" applyNumberFormat="1" applyFont="1" applyFill="1" applyAlignment="1" applyProtection="1">
      <alignment/>
      <protection locked="0"/>
    </xf>
    <xf numFmtId="3" fontId="3" fillId="55" borderId="0" xfId="0" applyNumberFormat="1" applyFont="1" applyFill="1" applyAlignment="1">
      <alignment/>
    </xf>
    <xf numFmtId="3" fontId="2" fillId="55" borderId="0" xfId="0" applyNumberFormat="1" applyFont="1" applyFill="1" applyAlignment="1" applyProtection="1">
      <alignment/>
      <protection/>
    </xf>
    <xf numFmtId="3" fontId="2" fillId="55" borderId="0" xfId="0" applyNumberFormat="1" applyFont="1" applyFill="1" applyAlignment="1">
      <alignment horizontal="right"/>
    </xf>
    <xf numFmtId="3" fontId="2" fillId="55" borderId="0" xfId="0" applyNumberFormat="1" applyFont="1" applyFill="1" applyAlignment="1">
      <alignment horizontal="right" wrapText="1"/>
    </xf>
    <xf numFmtId="1" fontId="3" fillId="55" borderId="0" xfId="0" applyNumberFormat="1" applyFont="1" applyFill="1" applyAlignment="1">
      <alignment horizontal="left"/>
    </xf>
    <xf numFmtId="3" fontId="2" fillId="55" borderId="0" xfId="0" applyNumberFormat="1" applyFont="1" applyFill="1" applyAlignment="1">
      <alignment horizontal="right"/>
    </xf>
    <xf numFmtId="3" fontId="3" fillId="55" borderId="0" xfId="0" applyNumberFormat="1" applyFont="1" applyFill="1" applyAlignment="1" applyProtection="1">
      <alignment/>
      <protection locked="0"/>
    </xf>
    <xf numFmtId="3" fontId="0" fillId="55" borderId="0" xfId="0" applyNumberFormat="1" applyFill="1" applyAlignment="1">
      <alignment horizontal="right" wrapText="1"/>
    </xf>
    <xf numFmtId="3" fontId="3" fillId="55" borderId="0" xfId="0" applyNumberFormat="1" applyFont="1" applyFill="1" applyAlignment="1" applyProtection="1">
      <alignment/>
      <protection locked="0"/>
    </xf>
    <xf numFmtId="3" fontId="2" fillId="53" borderId="0" xfId="97" applyNumberFormat="1" applyFont="1" applyFill="1" applyBorder="1" applyAlignment="1" quotePrefix="1">
      <alignment horizontal="right"/>
      <protection/>
    </xf>
    <xf numFmtId="184" fontId="3" fillId="54" borderId="19" xfId="97" applyFont="1" applyFill="1" applyBorder="1" applyAlignment="1" applyProtection="1">
      <alignment horizontal="center" vertical="center"/>
      <protection locked="0"/>
    </xf>
    <xf numFmtId="184" fontId="3" fillId="54" borderId="19" xfId="97" applyFont="1" applyFill="1" applyBorder="1" applyAlignment="1" applyProtection="1">
      <alignment horizontal="center" vertical="center" wrapText="1"/>
      <protection locked="0"/>
    </xf>
    <xf numFmtId="189" fontId="3" fillId="54" borderId="19" xfId="97" applyNumberFormat="1" applyFont="1" applyFill="1" applyBorder="1" applyAlignment="1" applyProtection="1">
      <alignment horizontal="center" vertical="center" wrapText="1"/>
      <protection locked="0"/>
    </xf>
    <xf numFmtId="184" fontId="3" fillId="56" borderId="0" xfId="97" applyFont="1" applyFill="1" applyBorder="1" applyAlignment="1" applyProtection="1">
      <alignment horizontal="left"/>
      <protection locked="0"/>
    </xf>
    <xf numFmtId="3" fontId="3" fillId="56" borderId="0" xfId="97" applyNumberFormat="1" applyFont="1" applyFill="1" applyAlignment="1" applyProtection="1">
      <alignment horizontal="right"/>
      <protection locked="0"/>
    </xf>
    <xf numFmtId="3" fontId="22" fillId="56" borderId="0" xfId="97" applyNumberFormat="1" applyFont="1" applyFill="1" applyAlignment="1" applyProtection="1">
      <alignment horizontal="right"/>
      <protection locked="0"/>
    </xf>
    <xf numFmtId="3" fontId="3" fillId="56" borderId="0" xfId="97" applyNumberFormat="1" applyFont="1" applyFill="1" applyAlignment="1" applyProtection="1" quotePrefix="1">
      <alignment horizontal="right"/>
      <protection locked="0"/>
    </xf>
    <xf numFmtId="3" fontId="3" fillId="56" borderId="0" xfId="97" applyNumberFormat="1" applyFont="1" applyFill="1" applyAlignment="1" applyProtection="1">
      <alignment/>
      <protection locked="0"/>
    </xf>
    <xf numFmtId="3" fontId="3" fillId="56" borderId="0" xfId="97" applyNumberFormat="1" applyFont="1" applyFill="1" applyAlignment="1">
      <alignment horizontal="right"/>
      <protection/>
    </xf>
    <xf numFmtId="3" fontId="3" fillId="56" borderId="0" xfId="97" applyNumberFormat="1" applyFont="1" applyFill="1" applyBorder="1" applyAlignment="1" quotePrefix="1">
      <alignment horizontal="right"/>
      <protection/>
    </xf>
    <xf numFmtId="3" fontId="3" fillId="56" borderId="0" xfId="97" applyNumberFormat="1" applyFont="1" applyFill="1">
      <alignment/>
      <protection/>
    </xf>
    <xf numFmtId="184" fontId="3" fillId="55" borderId="0" xfId="97" applyFont="1" applyFill="1" applyBorder="1" applyAlignment="1" applyProtection="1">
      <alignment horizontal="left"/>
      <protection locked="0"/>
    </xf>
    <xf numFmtId="3" fontId="2" fillId="55" borderId="0" xfId="97" applyNumberFormat="1" applyFont="1" applyFill="1" applyAlignment="1" applyProtection="1">
      <alignment/>
      <protection locked="0"/>
    </xf>
    <xf numFmtId="3" fontId="2" fillId="55" borderId="0" xfId="97" applyNumberFormat="1" applyFont="1" applyFill="1" applyAlignment="1" applyProtection="1">
      <alignment horizontal="right"/>
      <protection locked="0"/>
    </xf>
    <xf numFmtId="3" fontId="2" fillId="55" borderId="0" xfId="97" applyNumberFormat="1" applyFont="1" applyFill="1" applyAlignment="1">
      <alignment horizontal="right"/>
      <protection/>
    </xf>
    <xf numFmtId="3" fontId="21" fillId="55" borderId="0" xfId="97" applyNumberFormat="1" applyFont="1" applyFill="1" applyAlignment="1">
      <alignment horizontal="right"/>
      <protection/>
    </xf>
    <xf numFmtId="3" fontId="2" fillId="55" borderId="0" xfId="97" applyNumberFormat="1" applyFont="1" applyFill="1" applyAlignment="1" quotePrefix="1">
      <alignment horizontal="right"/>
      <protection/>
    </xf>
    <xf numFmtId="3" fontId="2" fillId="55" borderId="0" xfId="97" applyNumberFormat="1" applyFont="1" applyFill="1">
      <alignment/>
      <protection/>
    </xf>
    <xf numFmtId="3" fontId="21" fillId="55" borderId="0" xfId="97" applyNumberFormat="1" applyFont="1" applyFill="1" applyAlignment="1" quotePrefix="1">
      <alignment horizontal="right"/>
      <protection/>
    </xf>
    <xf numFmtId="3" fontId="2" fillId="55" borderId="0" xfId="97" applyNumberFormat="1" applyFont="1" applyFill="1" applyBorder="1" applyAlignment="1" applyProtection="1">
      <alignment/>
      <protection locked="0"/>
    </xf>
    <xf numFmtId="3" fontId="2" fillId="55" borderId="0" xfId="97" applyNumberFormat="1" applyFont="1" applyFill="1" applyBorder="1" applyAlignment="1" applyProtection="1">
      <alignment horizontal="right"/>
      <protection locked="0"/>
    </xf>
    <xf numFmtId="3" fontId="2" fillId="55" borderId="0" xfId="97" applyNumberFormat="1" applyFont="1" applyFill="1" applyBorder="1" applyAlignment="1">
      <alignment horizontal="right"/>
      <protection/>
    </xf>
    <xf numFmtId="3" fontId="21" fillId="55" borderId="0" xfId="97" applyNumberFormat="1" applyFont="1" applyFill="1" applyBorder="1" applyAlignment="1" quotePrefix="1">
      <alignment horizontal="right"/>
      <protection/>
    </xf>
    <xf numFmtId="3" fontId="2" fillId="55" borderId="0" xfId="97" applyNumberFormat="1" applyFont="1" applyFill="1" applyBorder="1">
      <alignment/>
      <protection/>
    </xf>
    <xf numFmtId="3" fontId="2" fillId="55" borderId="0" xfId="97" applyNumberFormat="1" applyFont="1" applyFill="1" applyBorder="1" applyAlignment="1" quotePrefix="1">
      <alignment horizontal="right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3" fontId="2" fillId="55" borderId="0" xfId="0" applyNumberFormat="1" applyFont="1" applyFill="1" applyBorder="1" applyAlignment="1">
      <alignment horizontal="right"/>
    </xf>
    <xf numFmtId="3" fontId="2" fillId="55" borderId="0" xfId="0" applyNumberFormat="1" applyFont="1" applyFill="1" applyBorder="1" applyAlignment="1">
      <alignment horizontal="right"/>
    </xf>
    <xf numFmtId="184" fontId="3" fillId="57" borderId="0" xfId="0" applyNumberFormat="1" applyFont="1" applyFill="1" applyAlignment="1" applyProtection="1">
      <alignment horizontal="left"/>
      <protection locked="0"/>
    </xf>
    <xf numFmtId="3" fontId="3" fillId="57" borderId="0" xfId="0" applyNumberFormat="1" applyFont="1" applyFill="1" applyAlignment="1" applyProtection="1">
      <alignment/>
      <protection/>
    </xf>
    <xf numFmtId="184" fontId="2" fillId="55" borderId="0" xfId="0" applyNumberFormat="1" applyFont="1" applyFill="1" applyAlignment="1" applyProtection="1">
      <alignment horizontal="left"/>
      <protection locked="0"/>
    </xf>
    <xf numFmtId="3" fontId="2" fillId="55" borderId="0" xfId="0" applyNumberFormat="1" applyFont="1" applyFill="1" applyAlignment="1" applyProtection="1">
      <alignment/>
      <protection/>
    </xf>
    <xf numFmtId="3" fontId="2" fillId="55" borderId="0" xfId="0" applyNumberFormat="1" applyFont="1" applyFill="1" applyAlignment="1" applyProtection="1">
      <alignment/>
      <protection/>
    </xf>
    <xf numFmtId="184" fontId="2" fillId="55" borderId="0" xfId="0" applyNumberFormat="1" applyFont="1" applyFill="1" applyBorder="1" applyAlignment="1" applyProtection="1">
      <alignment horizontal="left"/>
      <protection locked="0"/>
    </xf>
    <xf numFmtId="0" fontId="3" fillId="57" borderId="0" xfId="0" applyFont="1" applyFill="1" applyAlignment="1" applyProtection="1">
      <alignment horizontal="left"/>
      <protection/>
    </xf>
    <xf numFmtId="0" fontId="3" fillId="57" borderId="0" xfId="0" applyFont="1" applyFill="1" applyAlignment="1">
      <alignment horizontal="left"/>
    </xf>
    <xf numFmtId="3" fontId="3" fillId="57" borderId="0" xfId="0" applyNumberFormat="1" applyFont="1" applyFill="1" applyAlignment="1">
      <alignment/>
    </xf>
    <xf numFmtId="0" fontId="3" fillId="57" borderId="0" xfId="0" applyFont="1" applyFill="1" applyBorder="1" applyAlignment="1" applyProtection="1">
      <alignment horizontal="left"/>
      <protection/>
    </xf>
    <xf numFmtId="3" fontId="3" fillId="57" borderId="0" xfId="0" applyNumberFormat="1" applyFont="1" applyFill="1" applyBorder="1" applyAlignment="1">
      <alignment/>
    </xf>
    <xf numFmtId="0" fontId="3" fillId="54" borderId="18" xfId="0" applyFont="1" applyFill="1" applyBorder="1" applyAlignment="1">
      <alignment horizontal="center" wrapText="1"/>
    </xf>
    <xf numFmtId="0" fontId="3" fillId="54" borderId="18" xfId="0" applyFont="1" applyFill="1" applyBorder="1" applyAlignment="1">
      <alignment horizontal="right" wrapText="1"/>
    </xf>
    <xf numFmtId="0" fontId="3" fillId="54" borderId="20" xfId="0" applyFont="1" applyFill="1" applyBorder="1" applyAlignment="1">
      <alignment wrapText="1"/>
    </xf>
    <xf numFmtId="0" fontId="3" fillId="55" borderId="0" xfId="0" applyFont="1" applyFill="1" applyBorder="1" applyAlignment="1">
      <alignment horizontal="center" wrapText="1"/>
    </xf>
    <xf numFmtId="3" fontId="2" fillId="55" borderId="0" xfId="0" applyNumberFormat="1" applyFont="1" applyFill="1" applyBorder="1" applyAlignment="1">
      <alignment horizontal="right" wrapText="1"/>
    </xf>
    <xf numFmtId="186" fontId="2" fillId="55" borderId="0" xfId="0" applyNumberFormat="1" applyFont="1" applyFill="1" applyBorder="1" applyAlignment="1">
      <alignment horizontal="right" wrapText="1"/>
    </xf>
    <xf numFmtId="0" fontId="2" fillId="55" borderId="0" xfId="0" applyFont="1" applyFill="1" applyBorder="1" applyAlignment="1">
      <alignment/>
    </xf>
    <xf numFmtId="3" fontId="2" fillId="55" borderId="0" xfId="0" applyNumberFormat="1" applyFont="1" applyFill="1" applyBorder="1" applyAlignment="1">
      <alignment/>
    </xf>
    <xf numFmtId="0" fontId="3" fillId="54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wrapText="1"/>
    </xf>
    <xf numFmtId="0" fontId="3" fillId="54" borderId="19" xfId="0" applyFont="1" applyFill="1" applyBorder="1" applyAlignment="1">
      <alignment vertical="center" wrapText="1"/>
    </xf>
    <xf numFmtId="3" fontId="3" fillId="54" borderId="19" xfId="0" applyNumberFormat="1" applyFont="1" applyFill="1" applyBorder="1" applyAlignment="1">
      <alignment horizontal="right" vertical="center"/>
    </xf>
    <xf numFmtId="0" fontId="2" fillId="55" borderId="0" xfId="0" applyFont="1" applyFill="1" applyBorder="1" applyAlignment="1">
      <alignment horizontal="center" wrapText="1"/>
    </xf>
    <xf numFmtId="0" fontId="2" fillId="55" borderId="0" xfId="0" applyFont="1" applyFill="1" applyBorder="1" applyAlignment="1">
      <alignment horizontal="right" wrapText="1"/>
    </xf>
    <xf numFmtId="0" fontId="2" fillId="55" borderId="0" xfId="0" applyFont="1" applyFill="1" applyAlignment="1">
      <alignment horizontal="right" wrapText="1"/>
    </xf>
    <xf numFmtId="0" fontId="3" fillId="55" borderId="0" xfId="0" applyFont="1" applyFill="1" applyAlignment="1">
      <alignment wrapText="1"/>
    </xf>
    <xf numFmtId="0" fontId="2" fillId="55" borderId="0" xfId="0" applyFont="1" applyFill="1" applyAlignment="1">
      <alignment wrapText="1"/>
    </xf>
    <xf numFmtId="0" fontId="2" fillId="55" borderId="0" xfId="0" applyFont="1" applyFill="1" applyBorder="1" applyAlignment="1">
      <alignment horizontal="right"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/>
    </xf>
    <xf numFmtId="0" fontId="2" fillId="55" borderId="0" xfId="0" applyFont="1" applyFill="1" applyBorder="1" applyAlignment="1" quotePrefix="1">
      <alignment horizontal="right" wrapText="1"/>
    </xf>
    <xf numFmtId="0" fontId="2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 quotePrefix="1">
      <alignment horizontal="right"/>
    </xf>
    <xf numFmtId="0" fontId="2" fillId="55" borderId="0" xfId="0" applyFont="1" applyFill="1" applyAlignment="1" quotePrefix="1">
      <alignment horizontal="right" wrapText="1"/>
    </xf>
    <xf numFmtId="0" fontId="3" fillId="54" borderId="20" xfId="0" applyFont="1" applyFill="1" applyBorder="1" applyAlignment="1" applyProtection="1">
      <alignment/>
      <protection locked="0"/>
    </xf>
    <xf numFmtId="184" fontId="3" fillId="54" borderId="20" xfId="0" applyNumberFormat="1" applyFont="1" applyFill="1" applyBorder="1" applyAlignment="1" applyProtection="1">
      <alignment horizontal="center"/>
      <protection locked="0"/>
    </xf>
    <xf numFmtId="184" fontId="3" fillId="54" borderId="0" xfId="0" applyNumberFormat="1" applyFont="1" applyFill="1" applyBorder="1" applyAlignment="1" applyProtection="1">
      <alignment horizontal="center"/>
      <protection locked="0"/>
    </xf>
    <xf numFmtId="0" fontId="3" fillId="54" borderId="18" xfId="0" applyFont="1" applyFill="1" applyBorder="1" applyAlignment="1" applyProtection="1">
      <alignment/>
      <protection locked="0"/>
    </xf>
    <xf numFmtId="184" fontId="3" fillId="54" borderId="18" xfId="0" applyNumberFormat="1" applyFont="1" applyFill="1" applyBorder="1" applyAlignment="1" applyProtection="1">
      <alignment horizontal="right" wrapText="1"/>
      <protection locked="0"/>
    </xf>
    <xf numFmtId="184" fontId="3" fillId="54" borderId="18" xfId="0" applyNumberFormat="1" applyFont="1" applyFill="1" applyBorder="1" applyAlignment="1" applyProtection="1">
      <alignment horizontal="right"/>
      <protection locked="0"/>
    </xf>
    <xf numFmtId="184" fontId="3" fillId="54" borderId="18" xfId="0" applyNumberFormat="1" applyFont="1" applyFill="1" applyBorder="1" applyAlignment="1" applyProtection="1">
      <alignment horizontal="left"/>
      <protection locked="0"/>
    </xf>
    <xf numFmtId="0" fontId="3" fillId="54" borderId="20" xfId="0" applyFont="1" applyFill="1" applyBorder="1" applyAlignment="1">
      <alignment horizontal="right"/>
    </xf>
    <xf numFmtId="0" fontId="3" fillId="54" borderId="18" xfId="0" applyFont="1" applyFill="1" applyBorder="1" applyAlignment="1">
      <alignment horizontal="right"/>
    </xf>
    <xf numFmtId="0" fontId="3" fillId="54" borderId="20" xfId="0" applyFont="1" applyFill="1" applyBorder="1" applyAlignment="1">
      <alignment horizontal="center"/>
    </xf>
    <xf numFmtId="0" fontId="3" fillId="54" borderId="0" xfId="0" applyFont="1" applyFill="1" applyBorder="1" applyAlignment="1">
      <alignment horizontal="right"/>
    </xf>
    <xf numFmtId="0" fontId="3" fillId="54" borderId="0" xfId="0" applyFont="1" applyFill="1" applyBorder="1" applyAlignment="1">
      <alignment horizontal="center"/>
    </xf>
    <xf numFmtId="0" fontId="3" fillId="54" borderId="18" xfId="0" applyFont="1" applyFill="1" applyBorder="1" applyAlignment="1">
      <alignment horizontal="center"/>
    </xf>
    <xf numFmtId="3" fontId="3" fillId="58" borderId="18" xfId="0" applyNumberFormat="1" applyFont="1" applyFill="1" applyBorder="1" applyAlignment="1">
      <alignment horizontal="right" vertical="center"/>
    </xf>
    <xf numFmtId="0" fontId="3" fillId="58" borderId="18" xfId="0" applyFont="1" applyFill="1" applyBorder="1" applyAlignment="1">
      <alignment horizontal="right" vertical="center"/>
    </xf>
    <xf numFmtId="0" fontId="2" fillId="58" borderId="18" xfId="0" applyFont="1" applyFill="1" applyBorder="1" applyAlignment="1">
      <alignment horizontal="right" vertical="center"/>
    </xf>
    <xf numFmtId="3" fontId="3" fillId="58" borderId="19" xfId="0" applyNumberFormat="1" applyFont="1" applyFill="1" applyBorder="1" applyAlignment="1">
      <alignment horizontal="right"/>
    </xf>
    <xf numFmtId="3" fontId="3" fillId="58" borderId="19" xfId="0" applyNumberFormat="1" applyFont="1" applyFill="1" applyBorder="1" applyAlignment="1">
      <alignment/>
    </xf>
    <xf numFmtId="10" fontId="3" fillId="58" borderId="19" xfId="103" applyNumberFormat="1" applyFont="1" applyFill="1" applyBorder="1" applyAlignment="1">
      <alignment/>
    </xf>
    <xf numFmtId="0" fontId="3" fillId="58" borderId="19" xfId="0" applyFont="1" applyFill="1" applyBorder="1" applyAlignment="1">
      <alignment horizontal="right" vertical="center"/>
    </xf>
    <xf numFmtId="3" fontId="2" fillId="55" borderId="0" xfId="0" applyNumberFormat="1" applyFont="1" applyFill="1" applyBorder="1" applyAlignment="1">
      <alignment/>
    </xf>
    <xf numFmtId="10" fontId="2" fillId="55" borderId="0" xfId="0" applyNumberFormat="1" applyFont="1" applyFill="1" applyBorder="1" applyAlignment="1">
      <alignment/>
    </xf>
    <xf numFmtId="0" fontId="2" fillId="55" borderId="0" xfId="0" applyFont="1" applyFill="1" applyAlignment="1">
      <alignment horizontal="right"/>
    </xf>
    <xf numFmtId="4" fontId="3" fillId="58" borderId="19" xfId="0" applyNumberFormat="1" applyFont="1" applyFill="1" applyBorder="1" applyAlignment="1">
      <alignment horizontal="right" vertical="center"/>
    </xf>
    <xf numFmtId="0" fontId="3" fillId="58" borderId="19" xfId="0" applyFont="1" applyFill="1" applyBorder="1" applyAlignment="1">
      <alignment horizontal="right" vertical="center"/>
    </xf>
    <xf numFmtId="3" fontId="3" fillId="58" borderId="19" xfId="0" applyNumberFormat="1" applyFont="1" applyFill="1" applyBorder="1" applyAlignment="1">
      <alignment horizontal="right" vertical="center"/>
    </xf>
    <xf numFmtId="0" fontId="2" fillId="58" borderId="19" xfId="0" applyFont="1" applyFill="1" applyBorder="1" applyAlignment="1">
      <alignment horizontal="right" vertical="center"/>
    </xf>
    <xf numFmtId="3" fontId="3" fillId="58" borderId="18" xfId="0" applyNumberFormat="1" applyFont="1" applyFill="1" applyBorder="1" applyAlignment="1">
      <alignment horizontal="right" vertical="center"/>
    </xf>
    <xf numFmtId="10" fontId="3" fillId="58" borderId="19" xfId="103" applyNumberFormat="1" applyFont="1" applyFill="1" applyBorder="1" applyAlignment="1">
      <alignment vertical="center"/>
    </xf>
    <xf numFmtId="0" fontId="3" fillId="58" borderId="18" xfId="0" applyFont="1" applyFill="1" applyBorder="1" applyAlignment="1">
      <alignment horizontal="right" vertical="center"/>
    </xf>
    <xf numFmtId="10" fontId="2" fillId="55" borderId="0" xfId="0" applyNumberFormat="1" applyFont="1" applyFill="1" applyBorder="1" applyAlignment="1">
      <alignment/>
    </xf>
    <xf numFmtId="10" fontId="2" fillId="55" borderId="0" xfId="0" applyNumberFormat="1" applyFont="1" applyFill="1" applyBorder="1" applyAlignment="1">
      <alignment horizontal="right"/>
    </xf>
    <xf numFmtId="4" fontId="3" fillId="58" borderId="18" xfId="0" applyNumberFormat="1" applyFont="1" applyFill="1" applyBorder="1" applyAlignment="1">
      <alignment horizontal="right" vertical="center"/>
    </xf>
    <xf numFmtId="0" fontId="2" fillId="58" borderId="18" xfId="0" applyFont="1" applyFill="1" applyBorder="1" applyAlignment="1">
      <alignment horizontal="right" vertical="center"/>
    </xf>
    <xf numFmtId="3" fontId="3" fillId="58" borderId="19" xfId="0" applyNumberFormat="1" applyFont="1" applyFill="1" applyBorder="1" applyAlignment="1">
      <alignment horizontal="right"/>
    </xf>
    <xf numFmtId="0" fontId="3" fillId="58" borderId="19" xfId="0" applyFont="1" applyFill="1" applyBorder="1" applyAlignment="1">
      <alignment horizontal="right"/>
    </xf>
    <xf numFmtId="10" fontId="3" fillId="58" borderId="19" xfId="0" applyNumberFormat="1" applyFont="1" applyFill="1" applyBorder="1" applyAlignment="1">
      <alignment/>
    </xf>
    <xf numFmtId="4" fontId="3" fillId="58" borderId="18" xfId="0" applyNumberFormat="1" applyFont="1" applyFill="1" applyBorder="1" applyAlignment="1">
      <alignment horizontal="right" vertical="center"/>
    </xf>
    <xf numFmtId="3" fontId="3" fillId="58" borderId="0" xfId="0" applyNumberFormat="1" applyFont="1" applyFill="1" applyBorder="1" applyAlignment="1">
      <alignment horizontal="right" vertical="center"/>
    </xf>
    <xf numFmtId="0" fontId="3" fillId="58" borderId="19" xfId="0" applyFont="1" applyFill="1" applyBorder="1" applyAlignment="1">
      <alignment horizontal="right"/>
    </xf>
    <xf numFmtId="10" fontId="2" fillId="55" borderId="0" xfId="103" applyNumberFormat="1" applyFont="1" applyFill="1" applyBorder="1" applyAlignment="1">
      <alignment/>
    </xf>
    <xf numFmtId="10" fontId="2" fillId="55" borderId="0" xfId="0" applyNumberFormat="1" applyFont="1" applyFill="1" applyAlignment="1">
      <alignment horizontal="right"/>
    </xf>
    <xf numFmtId="10" fontId="3" fillId="58" borderId="19" xfId="0" applyNumberFormat="1" applyFont="1" applyFill="1" applyBorder="1" applyAlignment="1">
      <alignment horizontal="right"/>
    </xf>
    <xf numFmtId="1" fontId="2" fillId="55" borderId="0" xfId="0" applyNumberFormat="1" applyFont="1" applyFill="1" applyBorder="1" applyAlignment="1">
      <alignment/>
    </xf>
    <xf numFmtId="10" fontId="2" fillId="55" borderId="0" xfId="0" applyNumberFormat="1" applyFont="1" applyFill="1" applyAlignment="1">
      <alignment horizontal="right"/>
    </xf>
    <xf numFmtId="1" fontId="2" fillId="55" borderId="0" xfId="0" applyNumberFormat="1" applyFont="1" applyFill="1" applyAlignment="1">
      <alignment horizontal="right"/>
    </xf>
    <xf numFmtId="1" fontId="2" fillId="55" borderId="0" xfId="0" applyNumberFormat="1" applyFont="1" applyFill="1" applyAlignment="1">
      <alignment horizontal="right"/>
    </xf>
    <xf numFmtId="4" fontId="3" fillId="58" borderId="19" xfId="0" applyNumberFormat="1" applyFont="1" applyFill="1" applyBorder="1" applyAlignment="1">
      <alignment horizontal="right" vertical="center"/>
    </xf>
    <xf numFmtId="3" fontId="3" fillId="58" borderId="19" xfId="0" applyNumberFormat="1" applyFont="1" applyFill="1" applyBorder="1" applyAlignment="1">
      <alignment horizontal="right" vertical="center"/>
    </xf>
    <xf numFmtId="0" fontId="2" fillId="58" borderId="19" xfId="0" applyFont="1" applyFill="1" applyBorder="1" applyAlignment="1">
      <alignment horizontal="right" vertical="center"/>
    </xf>
    <xf numFmtId="1" fontId="3" fillId="58" borderId="19" xfId="0" applyNumberFormat="1" applyFont="1" applyFill="1" applyBorder="1" applyAlignment="1">
      <alignment horizontal="right"/>
    </xf>
    <xf numFmtId="3" fontId="3" fillId="58" borderId="19" xfId="0" applyNumberFormat="1" applyFont="1" applyFill="1" applyBorder="1" applyAlignment="1">
      <alignment vertical="center"/>
    </xf>
    <xf numFmtId="1" fontId="2" fillId="55" borderId="0" xfId="0" applyNumberFormat="1" applyFont="1" applyFill="1" applyBorder="1" applyAlignment="1">
      <alignment horizontal="right"/>
    </xf>
    <xf numFmtId="10" fontId="2" fillId="55" borderId="0" xfId="103" applyNumberFormat="1" applyFont="1" applyFill="1" applyBorder="1" applyAlignment="1">
      <alignment/>
    </xf>
    <xf numFmtId="0" fontId="2" fillId="55" borderId="0" xfId="0" applyFont="1" applyFill="1" applyBorder="1" applyAlignment="1">
      <alignment horizontal="right"/>
    </xf>
    <xf numFmtId="10" fontId="2" fillId="55" borderId="0" xfId="0" applyNumberFormat="1" applyFont="1" applyFill="1" applyBorder="1" applyAlignment="1">
      <alignment horizontal="right"/>
    </xf>
    <xf numFmtId="1" fontId="3" fillId="58" borderId="19" xfId="0" applyNumberFormat="1" applyFont="1" applyFill="1" applyBorder="1" applyAlignment="1">
      <alignment horizontal="right"/>
    </xf>
    <xf numFmtId="3" fontId="3" fillId="58" borderId="19" xfId="0" applyNumberFormat="1" applyFont="1" applyFill="1" applyBorder="1" applyAlignment="1">
      <alignment/>
    </xf>
    <xf numFmtId="10" fontId="3" fillId="58" borderId="19" xfId="0" applyNumberFormat="1" applyFont="1" applyFill="1" applyBorder="1" applyAlignment="1">
      <alignment horizontal="right"/>
    </xf>
    <xf numFmtId="1" fontId="2" fillId="55" borderId="0" xfId="0" applyNumberFormat="1" applyFont="1" applyFill="1" applyBorder="1" applyAlignment="1">
      <alignment/>
    </xf>
    <xf numFmtId="0" fontId="3" fillId="55" borderId="0" xfId="0" applyNumberFormat="1" applyFont="1" applyFill="1" applyAlignment="1" applyProtection="1">
      <alignment horizontal="center"/>
      <protection locked="0"/>
    </xf>
    <xf numFmtId="3" fontId="2" fillId="55" borderId="0" xfId="0" applyNumberFormat="1" applyFont="1" applyFill="1" applyAlignment="1" applyProtection="1">
      <alignment horizontal="right"/>
      <protection locked="0"/>
    </xf>
    <xf numFmtId="3" fontId="3" fillId="55" borderId="0" xfId="0" applyNumberFormat="1" applyFont="1" applyFill="1" applyAlignment="1" applyProtection="1">
      <alignment horizontal="right"/>
      <protection locked="0"/>
    </xf>
    <xf numFmtId="3" fontId="3" fillId="55" borderId="0" xfId="0" applyNumberFormat="1" applyFont="1" applyFill="1" applyBorder="1" applyAlignment="1" applyProtection="1">
      <alignment horizontal="right"/>
      <protection locked="0"/>
    </xf>
    <xf numFmtId="0" fontId="3" fillId="55" borderId="0" xfId="0" applyNumberFormat="1" applyFont="1" applyFill="1" applyAlignment="1">
      <alignment horizontal="center"/>
    </xf>
    <xf numFmtId="0" fontId="26" fillId="55" borderId="0" xfId="0" applyFont="1" applyFill="1" applyAlignment="1">
      <alignment/>
    </xf>
    <xf numFmtId="0" fontId="0" fillId="55" borderId="0" xfId="0" applyFont="1" applyFill="1" applyAlignment="1">
      <alignment/>
    </xf>
    <xf numFmtId="3" fontId="27" fillId="55" borderId="0" xfId="0" applyNumberFormat="1" applyFont="1" applyFill="1" applyBorder="1" applyAlignment="1" applyProtection="1">
      <alignment horizontal="right"/>
      <protection locked="0"/>
    </xf>
    <xf numFmtId="1" fontId="3" fillId="55" borderId="0" xfId="0" applyNumberFormat="1" applyFont="1" applyFill="1" applyAlignment="1" applyProtection="1">
      <alignment horizontal="center"/>
      <protection locked="0"/>
    </xf>
    <xf numFmtId="37" fontId="2" fillId="55" borderId="0" xfId="0" applyNumberFormat="1" applyFont="1" applyFill="1" applyBorder="1" applyAlignment="1">
      <alignment/>
    </xf>
    <xf numFmtId="3" fontId="25" fillId="55" borderId="0" xfId="0" applyNumberFormat="1" applyFont="1" applyFill="1" applyBorder="1" applyAlignment="1" applyProtection="1">
      <alignment horizontal="right"/>
      <protection locked="0"/>
    </xf>
    <xf numFmtId="0" fontId="3" fillId="54" borderId="18" xfId="0" applyFont="1" applyFill="1" applyBorder="1" applyAlignment="1">
      <alignment/>
    </xf>
    <xf numFmtId="0" fontId="3" fillId="54" borderId="20" xfId="0" applyFont="1" applyFill="1" applyBorder="1" applyAlignment="1">
      <alignment/>
    </xf>
    <xf numFmtId="0" fontId="3" fillId="54" borderId="20" xfId="0" applyFont="1" applyFill="1" applyBorder="1" applyAlignment="1">
      <alignment/>
    </xf>
    <xf numFmtId="0" fontId="3" fillId="54" borderId="19" xfId="0" applyFont="1" applyFill="1" applyBorder="1" applyAlignment="1">
      <alignment vertical="center"/>
    </xf>
    <xf numFmtId="3" fontId="3" fillId="54" borderId="19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2" fillId="55" borderId="0" xfId="0" applyFont="1" applyFill="1" applyAlignment="1">
      <alignment/>
    </xf>
    <xf numFmtId="184" fontId="0" fillId="59" borderId="0" xfId="98" applyNumberFormat="1" applyFont="1" applyFill="1" applyAlignment="1" applyProtection="1">
      <alignment horizontal="left"/>
      <protection locked="0"/>
    </xf>
    <xf numFmtId="3" fontId="2" fillId="59" borderId="0" xfId="0" applyNumberFormat="1" applyFont="1" applyFill="1" applyAlignment="1">
      <alignment horizontal="right"/>
    </xf>
    <xf numFmtId="0" fontId="2" fillId="59" borderId="0" xfId="0" applyFont="1" applyFill="1" applyAlignment="1">
      <alignment horizontal="right"/>
    </xf>
    <xf numFmtId="0" fontId="0" fillId="59" borderId="0" xfId="98" applyFont="1" applyFill="1" applyBorder="1" applyProtection="1">
      <alignment/>
      <protection locked="0"/>
    </xf>
    <xf numFmtId="0" fontId="1" fillId="60" borderId="0" xfId="0" applyFont="1" applyFill="1" applyAlignment="1">
      <alignment/>
    </xf>
    <xf numFmtId="3" fontId="3" fillId="60" borderId="0" xfId="0" applyNumberFormat="1" applyFont="1" applyFill="1" applyAlignment="1">
      <alignment/>
    </xf>
    <xf numFmtId="0" fontId="0" fillId="60" borderId="0" xfId="0" applyFill="1" applyAlignment="1">
      <alignment/>
    </xf>
    <xf numFmtId="0" fontId="3" fillId="60" borderId="0" xfId="0" applyFont="1" applyFill="1" applyAlignment="1">
      <alignment/>
    </xf>
    <xf numFmtId="0" fontId="3" fillId="60" borderId="18" xfId="0" applyFont="1" applyFill="1" applyBorder="1" applyAlignment="1">
      <alignment/>
    </xf>
    <xf numFmtId="3" fontId="3" fillId="60" borderId="18" xfId="0" applyNumberFormat="1" applyFont="1" applyFill="1" applyBorder="1" applyAlignment="1">
      <alignment/>
    </xf>
    <xf numFmtId="0" fontId="82" fillId="58" borderId="21" xfId="0" applyFont="1" applyFill="1" applyBorder="1" applyAlignment="1">
      <alignment horizontal="center" vertical="center" wrapText="1"/>
    </xf>
    <xf numFmtId="3" fontId="0" fillId="60" borderId="0" xfId="0" applyNumberFormat="1" applyFill="1" applyAlignment="1">
      <alignment/>
    </xf>
    <xf numFmtId="0" fontId="0" fillId="54" borderId="0" xfId="0" applyFill="1" applyAlignment="1">
      <alignment/>
    </xf>
    <xf numFmtId="3" fontId="0" fillId="54" borderId="0" xfId="0" applyNumberFormat="1" applyFill="1" applyAlignment="1">
      <alignment/>
    </xf>
    <xf numFmtId="0" fontId="1" fillId="54" borderId="0" xfId="74" applyFont="1" applyFill="1" applyAlignment="1" applyProtection="1">
      <alignment/>
      <protection/>
    </xf>
    <xf numFmtId="3" fontId="83" fillId="54" borderId="0" xfId="0" applyNumberFormat="1" applyFont="1" applyFill="1" applyAlignment="1">
      <alignment/>
    </xf>
    <xf numFmtId="0" fontId="11" fillId="54" borderId="19" xfId="0" applyFont="1" applyFill="1" applyBorder="1" applyAlignment="1">
      <alignment horizontal="right"/>
    </xf>
    <xf numFmtId="3" fontId="2" fillId="55" borderId="0" xfId="0" applyNumberFormat="1" applyFont="1" applyFill="1" applyBorder="1" applyAlignment="1" applyProtection="1">
      <alignment/>
      <protection/>
    </xf>
    <xf numFmtId="0" fontId="54" fillId="60" borderId="0" xfId="0" applyFont="1" applyFill="1" applyAlignment="1">
      <alignment/>
    </xf>
    <xf numFmtId="0" fontId="2" fillId="0" borderId="0" xfId="0" applyFont="1" applyAlignment="1" quotePrefix="1">
      <alignment/>
    </xf>
    <xf numFmtId="0" fontId="1" fillId="0" borderId="0" xfId="94" applyFont="1" applyAlignment="1" applyProtection="1">
      <alignment/>
      <protection/>
    </xf>
    <xf numFmtId="0" fontId="12" fillId="0" borderId="0" xfId="94" applyFont="1">
      <alignment/>
      <protection/>
    </xf>
    <xf numFmtId="0" fontId="12" fillId="0" borderId="0" xfId="94" applyFont="1" applyAlignment="1">
      <alignment/>
      <protection/>
    </xf>
    <xf numFmtId="0" fontId="0" fillId="0" borderId="0" xfId="94" applyFont="1">
      <alignment/>
      <protection/>
    </xf>
    <xf numFmtId="0" fontId="3" fillId="0" borderId="0" xfId="94" applyFont="1" applyAlignment="1">
      <alignment/>
      <protection/>
    </xf>
    <xf numFmtId="0" fontId="2" fillId="0" borderId="0" xfId="94" applyFont="1">
      <alignment/>
      <protection/>
    </xf>
    <xf numFmtId="0" fontId="2" fillId="0" borderId="0" xfId="94" applyFont="1" applyAlignment="1">
      <alignment/>
      <protection/>
    </xf>
    <xf numFmtId="0" fontId="2" fillId="0" borderId="0" xfId="94" applyFont="1" applyAlignment="1">
      <alignment horizontal="centerContinuous" vertical="center"/>
      <protection/>
    </xf>
    <xf numFmtId="0" fontId="3" fillId="0" borderId="0" xfId="94" applyFont="1" applyAlignment="1" applyProtection="1">
      <alignment/>
      <protection/>
    </xf>
    <xf numFmtId="0" fontId="3" fillId="0" borderId="0" xfId="94" applyFont="1" applyAlignment="1">
      <alignment horizontal="right" vertical="center"/>
      <protection/>
    </xf>
    <xf numFmtId="0" fontId="3" fillId="54" borderId="20" xfId="94" applyFont="1" applyFill="1" applyBorder="1" applyAlignment="1" applyProtection="1">
      <alignment/>
      <protection/>
    </xf>
    <xf numFmtId="0" fontId="14" fillId="54" borderId="20" xfId="94" applyFont="1" applyFill="1" applyBorder="1" applyAlignment="1" applyProtection="1">
      <alignment horizontal="center"/>
      <protection/>
    </xf>
    <xf numFmtId="0" fontId="14" fillId="54" borderId="20" xfId="94" applyFont="1" applyFill="1" applyBorder="1" applyAlignment="1" applyProtection="1" quotePrefix="1">
      <alignment horizontal="center"/>
      <protection/>
    </xf>
    <xf numFmtId="0" fontId="5" fillId="0" borderId="0" xfId="94" applyFont="1">
      <alignment/>
      <protection/>
    </xf>
    <xf numFmtId="0" fontId="3" fillId="54" borderId="0" xfId="94" applyFont="1" applyFill="1" applyBorder="1" applyAlignment="1" applyProtection="1">
      <alignment/>
      <protection/>
    </xf>
    <xf numFmtId="0" fontId="14" fillId="54" borderId="0" xfId="94" applyFont="1" applyFill="1" applyBorder="1" applyAlignment="1" applyProtection="1">
      <alignment horizontal="center" vertical="top" wrapText="1"/>
      <protection/>
    </xf>
    <xf numFmtId="0" fontId="14" fillId="54" borderId="0" xfId="94" applyFont="1" applyFill="1" applyBorder="1" applyAlignment="1" applyProtection="1">
      <alignment horizontal="center" vertical="top"/>
      <protection/>
    </xf>
    <xf numFmtId="0" fontId="14" fillId="54" borderId="0" xfId="94" applyFont="1" applyFill="1" applyBorder="1" applyAlignment="1" applyProtection="1" quotePrefix="1">
      <alignment horizontal="center" vertical="top"/>
      <protection/>
    </xf>
    <xf numFmtId="0" fontId="14" fillId="54" borderId="0" xfId="94" applyFont="1" applyFill="1" applyAlignment="1">
      <alignment horizontal="center" vertical="center"/>
      <protection/>
    </xf>
    <xf numFmtId="0" fontId="14" fillId="54" borderId="0" xfId="94" applyFont="1" applyFill="1" applyBorder="1" applyAlignment="1">
      <alignment vertical="top"/>
      <protection/>
    </xf>
    <xf numFmtId="0" fontId="3" fillId="54" borderId="18" xfId="94" applyFont="1" applyFill="1" applyBorder="1" applyAlignment="1" applyProtection="1">
      <alignment/>
      <protection/>
    </xf>
    <xf numFmtId="0" fontId="14" fillId="54" borderId="18" xfId="94" applyFont="1" applyFill="1" applyBorder="1" applyAlignment="1" applyProtection="1">
      <alignment horizontal="center" vertical="top"/>
      <protection/>
    </xf>
    <xf numFmtId="0" fontId="14" fillId="54" borderId="18" xfId="94" applyFont="1" applyFill="1" applyBorder="1" applyAlignment="1" applyProtection="1" quotePrefix="1">
      <alignment horizontal="center" vertical="top"/>
      <protection/>
    </xf>
    <xf numFmtId="0" fontId="14" fillId="54" borderId="18" xfId="94" applyFont="1" applyFill="1" applyBorder="1" applyAlignment="1">
      <alignment vertical="top"/>
      <protection/>
    </xf>
    <xf numFmtId="3" fontId="2" fillId="0" borderId="0" xfId="94" applyNumberFormat="1" applyFont="1" applyAlignment="1">
      <alignment horizontal="center"/>
      <protection/>
    </xf>
    <xf numFmtId="184" fontId="3" fillId="0" borderId="0" xfId="94" applyNumberFormat="1" applyFont="1" applyAlignment="1" applyProtection="1">
      <alignment/>
      <protection/>
    </xf>
    <xf numFmtId="3" fontId="2" fillId="0" borderId="0" xfId="94" applyNumberFormat="1" applyFont="1" applyAlignment="1" applyProtection="1">
      <alignment horizontal="right"/>
      <protection/>
    </xf>
    <xf numFmtId="184" fontId="3" fillId="55" borderId="0" xfId="94" applyNumberFormat="1" applyFont="1" applyFill="1" applyAlignment="1" applyProtection="1">
      <alignment/>
      <protection/>
    </xf>
    <xf numFmtId="3" fontId="2" fillId="55" borderId="0" xfId="94" applyNumberFormat="1" applyFont="1" applyFill="1" applyAlignment="1" applyProtection="1">
      <alignment horizontal="right"/>
      <protection/>
    </xf>
    <xf numFmtId="3" fontId="2" fillId="0" borderId="0" xfId="94" applyNumberFormat="1" applyFont="1" applyAlignment="1">
      <alignment horizontal="right"/>
      <protection/>
    </xf>
    <xf numFmtId="188" fontId="3" fillId="55" borderId="0" xfId="94" applyNumberFormat="1" applyFont="1" applyFill="1" applyAlignment="1" applyProtection="1">
      <alignment/>
      <protection/>
    </xf>
    <xf numFmtId="0" fontId="3" fillId="0" borderId="0" xfId="94" applyFont="1" applyAlignment="1">
      <alignment horizontal="left"/>
      <protection/>
    </xf>
    <xf numFmtId="0" fontId="3" fillId="55" borderId="0" xfId="94" applyFont="1" applyFill="1" applyBorder="1" applyAlignment="1">
      <alignment horizontal="left"/>
      <protection/>
    </xf>
    <xf numFmtId="3" fontId="2" fillId="55" borderId="0" xfId="94" applyNumberFormat="1" applyFont="1" applyFill="1" applyBorder="1" applyAlignment="1">
      <alignment horizontal="right"/>
      <protection/>
    </xf>
    <xf numFmtId="0" fontId="3" fillId="0" borderId="0" xfId="94" applyFont="1" applyBorder="1" applyAlignment="1">
      <alignment horizontal="left"/>
      <protection/>
    </xf>
    <xf numFmtId="3" fontId="2" fillId="0" borderId="0" xfId="94" applyNumberFormat="1" applyFont="1" applyBorder="1" applyAlignment="1">
      <alignment horizontal="right"/>
      <protection/>
    </xf>
    <xf numFmtId="3" fontId="2" fillId="55" borderId="0" xfId="94" applyNumberFormat="1" applyFont="1" applyFill="1" applyBorder="1" applyAlignment="1">
      <alignment/>
      <protection/>
    </xf>
    <xf numFmtId="3" fontId="2" fillId="0" borderId="0" xfId="94" applyNumberFormat="1" applyFont="1" applyBorder="1" applyAlignment="1">
      <alignment/>
      <protection/>
    </xf>
    <xf numFmtId="3" fontId="0" fillId="0" borderId="0" xfId="94" applyNumberFormat="1" applyFont="1">
      <alignment/>
      <protection/>
    </xf>
    <xf numFmtId="3" fontId="2" fillId="0" borderId="0" xfId="94" applyNumberFormat="1" applyFont="1" applyFill="1" applyBorder="1" applyAlignment="1">
      <alignment horizontal="right"/>
      <protection/>
    </xf>
    <xf numFmtId="3" fontId="2" fillId="53" borderId="0" xfId="94" applyNumberFormat="1" applyFont="1" applyFill="1" applyBorder="1" applyAlignment="1">
      <alignment horizontal="right"/>
      <protection/>
    </xf>
    <xf numFmtId="3" fontId="2" fillId="55" borderId="0" xfId="94" applyNumberFormat="1" applyFont="1" applyFill="1" applyBorder="1" applyAlignment="1" quotePrefix="1">
      <alignment horizontal="right"/>
      <protection/>
    </xf>
    <xf numFmtId="3" fontId="2" fillId="0" borderId="0" xfId="94" applyNumberFormat="1" applyFont="1" applyBorder="1" applyAlignment="1">
      <alignment horizontal="center"/>
      <protection/>
    </xf>
    <xf numFmtId="0" fontId="2" fillId="0" borderId="0" xfId="94" applyFont="1" applyBorder="1">
      <alignment/>
      <protection/>
    </xf>
    <xf numFmtId="0" fontId="2" fillId="0" borderId="0" xfId="94" applyFont="1" applyAlignment="1">
      <alignment horizontal="center"/>
      <protection/>
    </xf>
    <xf numFmtId="0" fontId="25" fillId="0" borderId="0" xfId="94" applyFont="1" applyBorder="1">
      <alignment/>
      <protection/>
    </xf>
    <xf numFmtId="0" fontId="84" fillId="0" borderId="0" xfId="94" applyFont="1">
      <alignment/>
      <protection/>
    </xf>
    <xf numFmtId="10" fontId="3" fillId="53" borderId="0" xfId="105" applyNumberFormat="1" applyFont="1" applyFill="1" applyAlignment="1" applyProtection="1">
      <alignment horizontal="right"/>
      <protection locked="0"/>
    </xf>
    <xf numFmtId="3" fontId="51" fillId="53" borderId="0" xfId="94" applyNumberFormat="1" applyFont="1" applyFill="1" applyBorder="1" applyAlignment="1" applyProtection="1">
      <alignment vertical="center"/>
      <protection locked="0"/>
    </xf>
    <xf numFmtId="203" fontId="2" fillId="0" borderId="0" xfId="105" applyNumberFormat="1" applyFont="1" applyAlignment="1">
      <alignment/>
    </xf>
    <xf numFmtId="3" fontId="2" fillId="0" borderId="0" xfId="97" applyNumberFormat="1" applyFont="1" applyFill="1" applyBorder="1" applyAlignment="1" quotePrefix="1">
      <alignment horizontal="right"/>
      <protection/>
    </xf>
    <xf numFmtId="0" fontId="25" fillId="0" borderId="0" xfId="94" applyFont="1" applyAlignment="1">
      <alignment/>
      <protection/>
    </xf>
    <xf numFmtId="0" fontId="2" fillId="53" borderId="0" xfId="94" applyFont="1" applyFill="1" applyAlignment="1" applyProtection="1" quotePrefix="1">
      <alignment horizontal="left"/>
      <protection/>
    </xf>
    <xf numFmtId="0" fontId="0" fillId="53" borderId="0" xfId="94" applyFont="1" applyFill="1">
      <alignment/>
      <protection/>
    </xf>
    <xf numFmtId="0" fontId="1" fillId="53" borderId="0" xfId="94" applyFont="1" applyFill="1" applyAlignment="1" applyProtection="1">
      <alignment horizontal="left"/>
      <protection/>
    </xf>
    <xf numFmtId="0" fontId="1" fillId="53" borderId="0" xfId="94" applyFont="1" applyFill="1" applyAlignment="1" applyProtection="1" quotePrefix="1">
      <alignment horizontal="left"/>
      <protection/>
    </xf>
    <xf numFmtId="0" fontId="1" fillId="53" borderId="0" xfId="94" applyFont="1" applyFill="1">
      <alignment/>
      <protection/>
    </xf>
    <xf numFmtId="0" fontId="2" fillId="53" borderId="0" xfId="94" applyFont="1" applyFill="1">
      <alignment/>
      <protection/>
    </xf>
    <xf numFmtId="0" fontId="0" fillId="0" borderId="0" xfId="94">
      <alignment/>
      <protection/>
    </xf>
    <xf numFmtId="0" fontId="3" fillId="54" borderId="20" xfId="94" applyFont="1" applyFill="1" applyBorder="1">
      <alignment/>
      <protection/>
    </xf>
    <xf numFmtId="0" fontId="3" fillId="54" borderId="20" xfId="94" applyFont="1" applyFill="1" applyBorder="1" applyAlignment="1">
      <alignment horizontal="centerContinuous"/>
      <protection/>
    </xf>
    <xf numFmtId="0" fontId="3" fillId="54" borderId="20" xfId="94" applyFont="1" applyFill="1" applyBorder="1" applyAlignment="1" applyProtection="1">
      <alignment horizontal="right"/>
      <protection/>
    </xf>
    <xf numFmtId="0" fontId="3" fillId="54" borderId="20" xfId="94" applyFont="1" applyFill="1" applyBorder="1" applyAlignment="1" applyProtection="1">
      <alignment horizontal="centerContinuous"/>
      <protection/>
    </xf>
    <xf numFmtId="0" fontId="3" fillId="54" borderId="20" xfId="94" applyFont="1" applyFill="1" applyBorder="1" applyAlignment="1">
      <alignment horizontal="right"/>
      <protection/>
    </xf>
    <xf numFmtId="0" fontId="3" fillId="54" borderId="20" xfId="94" applyFont="1" applyFill="1" applyBorder="1" applyAlignment="1" applyProtection="1">
      <alignment horizontal="left"/>
      <protection/>
    </xf>
    <xf numFmtId="0" fontId="3" fillId="54" borderId="0" xfId="94" applyFont="1" applyFill="1" applyAlignment="1" applyProtection="1">
      <alignment horizontal="left"/>
      <protection/>
    </xf>
    <xf numFmtId="0" fontId="3" fillId="54" borderId="0" xfId="94" applyFont="1" applyFill="1" applyAlignment="1" applyProtection="1">
      <alignment horizontal="centerContinuous"/>
      <protection/>
    </xf>
    <xf numFmtId="0" fontId="3" fillId="54" borderId="0" xfId="94" applyFont="1" applyFill="1" applyAlignment="1" applyProtection="1">
      <alignment horizontal="right"/>
      <protection/>
    </xf>
    <xf numFmtId="0" fontId="3" fillId="54" borderId="0" xfId="94" applyFont="1" applyFill="1" applyAlignment="1">
      <alignment horizontal="right"/>
      <protection/>
    </xf>
    <xf numFmtId="0" fontId="3" fillId="54" borderId="0" xfId="94" applyFont="1" applyFill="1" applyAlignment="1">
      <alignment horizontal="centerContinuous"/>
      <protection/>
    </xf>
    <xf numFmtId="0" fontId="3" fillId="54" borderId="18" xfId="94" applyFont="1" applyFill="1" applyBorder="1" applyAlignment="1" applyProtection="1">
      <alignment horizontal="left"/>
      <protection/>
    </xf>
    <xf numFmtId="0" fontId="3" fillId="54" borderId="18" xfId="94" applyFont="1" applyFill="1" applyBorder="1" applyAlignment="1" applyProtection="1">
      <alignment horizontal="centerContinuous"/>
      <protection/>
    </xf>
    <xf numFmtId="0" fontId="3" fillId="54" borderId="18" xfId="94" applyFont="1" applyFill="1" applyBorder="1" applyAlignment="1" applyProtection="1">
      <alignment horizontal="right"/>
      <protection/>
    </xf>
    <xf numFmtId="0" fontId="3" fillId="54" borderId="18" xfId="94" applyFont="1" applyFill="1" applyBorder="1" applyAlignment="1" applyProtection="1" quotePrefix="1">
      <alignment horizontal="right"/>
      <protection/>
    </xf>
    <xf numFmtId="0" fontId="3" fillId="54" borderId="18" xfId="94" applyFont="1" applyFill="1" applyBorder="1" applyAlignment="1">
      <alignment horizontal="right"/>
      <protection/>
    </xf>
    <xf numFmtId="0" fontId="3" fillId="54" borderId="19" xfId="94" applyFont="1" applyFill="1" applyBorder="1" applyAlignment="1" applyProtection="1">
      <alignment horizontal="right"/>
      <protection/>
    </xf>
    <xf numFmtId="0" fontId="2" fillId="53" borderId="0" xfId="94" applyFont="1" applyFill="1" applyBorder="1" applyAlignment="1" applyProtection="1">
      <alignment horizontal="left"/>
      <protection/>
    </xf>
    <xf numFmtId="0" fontId="2" fillId="53" borderId="0" xfId="94" applyFont="1" applyFill="1" applyBorder="1" applyAlignment="1" applyProtection="1">
      <alignment horizontal="centerContinuous"/>
      <protection/>
    </xf>
    <xf numFmtId="0" fontId="2" fillId="53" borderId="0" xfId="94" applyFont="1" applyFill="1" applyBorder="1" applyAlignment="1" applyProtection="1" quotePrefix="1">
      <alignment horizontal="center"/>
      <protection/>
    </xf>
    <xf numFmtId="0" fontId="2" fillId="53" borderId="0" xfId="94" applyFont="1" applyFill="1" applyBorder="1" applyAlignment="1" applyProtection="1">
      <alignment horizontal="center"/>
      <protection/>
    </xf>
    <xf numFmtId="0" fontId="2" fillId="53" borderId="0" xfId="94" applyFont="1" applyFill="1" applyBorder="1">
      <alignment/>
      <protection/>
    </xf>
    <xf numFmtId="0" fontId="2" fillId="53" borderId="0" xfId="94" applyFont="1" applyFill="1" applyBorder="1" applyAlignment="1" applyProtection="1">
      <alignment horizontal="right"/>
      <protection/>
    </xf>
    <xf numFmtId="0" fontId="2" fillId="53" borderId="0" xfId="94" applyFont="1" applyFill="1" applyAlignment="1" applyProtection="1">
      <alignment horizontal="left"/>
      <protection/>
    </xf>
    <xf numFmtId="3" fontId="2" fillId="53" borderId="0" xfId="94" applyNumberFormat="1" applyFont="1" applyFill="1" applyAlignment="1" applyProtection="1">
      <alignment horizontal="right"/>
      <protection/>
    </xf>
    <xf numFmtId="0" fontId="16" fillId="0" borderId="0" xfId="94" applyFont="1">
      <alignment/>
      <protection/>
    </xf>
    <xf numFmtId="2" fontId="2" fillId="53" borderId="0" xfId="94" applyNumberFormat="1" applyFont="1" applyFill="1" applyAlignment="1" applyProtection="1">
      <alignment horizontal="right"/>
      <protection/>
    </xf>
    <xf numFmtId="0" fontId="2" fillId="55" borderId="0" xfId="94" applyFont="1" applyFill="1" applyAlignment="1" applyProtection="1">
      <alignment horizontal="left"/>
      <protection/>
    </xf>
    <xf numFmtId="0" fontId="16" fillId="55" borderId="0" xfId="94" applyFont="1" applyFill="1">
      <alignment/>
      <protection/>
    </xf>
    <xf numFmtId="0" fontId="2" fillId="55" borderId="0" xfId="94" applyFont="1" applyFill="1">
      <alignment/>
      <protection/>
    </xf>
    <xf numFmtId="2" fontId="2" fillId="55" borderId="0" xfId="94" applyNumberFormat="1" applyFont="1" applyFill="1" applyAlignment="1" applyProtection="1">
      <alignment horizontal="right"/>
      <protection/>
    </xf>
    <xf numFmtId="3" fontId="2" fillId="53" borderId="0" xfId="94" applyNumberFormat="1" applyFont="1" applyFill="1" applyProtection="1">
      <alignment/>
      <protection/>
    </xf>
    <xf numFmtId="3" fontId="2" fillId="55" borderId="0" xfId="94" applyNumberFormat="1" applyFont="1" applyFill="1" applyProtection="1">
      <alignment/>
      <protection/>
    </xf>
    <xf numFmtId="3" fontId="2" fillId="53" borderId="0" xfId="94" applyNumberFormat="1" applyFont="1" applyFill="1" applyAlignment="1" applyProtection="1" quotePrefix="1">
      <alignment horizontal="right"/>
      <protection/>
    </xf>
    <xf numFmtId="2" fontId="2" fillId="0" borderId="0" xfId="94" applyNumberFormat="1" applyFont="1" applyFill="1" applyAlignment="1" applyProtection="1" quotePrefix="1">
      <alignment horizontal="right"/>
      <protection/>
    </xf>
    <xf numFmtId="3" fontId="2" fillId="55" borderId="0" xfId="94" applyNumberFormat="1" applyFont="1" applyFill="1" applyAlignment="1" applyProtection="1" quotePrefix="1">
      <alignment horizontal="right"/>
      <protection/>
    </xf>
    <xf numFmtId="1" fontId="2" fillId="55" borderId="0" xfId="94" applyNumberFormat="1" applyFont="1" applyFill="1" applyAlignment="1" applyProtection="1" quotePrefix="1">
      <alignment horizontal="right"/>
      <protection/>
    </xf>
    <xf numFmtId="2" fontId="2" fillId="55" borderId="0" xfId="94" applyNumberFormat="1" applyFont="1" applyFill="1" applyAlignment="1" applyProtection="1" quotePrefix="1">
      <alignment horizontal="right"/>
      <protection/>
    </xf>
    <xf numFmtId="2" fontId="2" fillId="53" borderId="0" xfId="94" applyNumberFormat="1" applyFont="1" applyFill="1" applyProtection="1">
      <alignment/>
      <protection/>
    </xf>
    <xf numFmtId="2" fontId="2" fillId="53" borderId="0" xfId="94" applyNumberFormat="1" applyFont="1" applyFill="1" applyAlignment="1" applyProtection="1" quotePrefix="1">
      <alignment horizontal="right"/>
      <protection/>
    </xf>
    <xf numFmtId="4" fontId="2" fillId="53" borderId="0" xfId="94" applyNumberFormat="1" applyFont="1" applyFill="1" applyProtection="1">
      <alignment/>
      <protection/>
    </xf>
    <xf numFmtId="0" fontId="3" fillId="54" borderId="19" xfId="94" applyFont="1" applyFill="1" applyBorder="1" applyAlignment="1" applyProtection="1">
      <alignment horizontal="left" vertical="center"/>
      <protection/>
    </xf>
    <xf numFmtId="3" fontId="3" fillId="54" borderId="19" xfId="94" applyNumberFormat="1" applyFont="1" applyFill="1" applyBorder="1" applyAlignment="1" applyProtection="1">
      <alignment vertical="center"/>
      <protection/>
    </xf>
    <xf numFmtId="0" fontId="3" fillId="54" borderId="19" xfId="94" applyFont="1" applyFill="1" applyBorder="1" applyAlignment="1">
      <alignment vertical="center"/>
      <protection/>
    </xf>
    <xf numFmtId="4" fontId="3" fillId="54" borderId="19" xfId="94" applyNumberFormat="1" applyFont="1" applyFill="1" applyBorder="1" applyAlignment="1" applyProtection="1">
      <alignment horizontal="right" vertical="center"/>
      <protection/>
    </xf>
    <xf numFmtId="0" fontId="3" fillId="53" borderId="0" xfId="94" applyFont="1" applyFill="1" applyBorder="1" applyAlignment="1" applyProtection="1">
      <alignment horizontal="left" vertical="center"/>
      <protection/>
    </xf>
    <xf numFmtId="3" fontId="3" fillId="53" borderId="0" xfId="94" applyNumberFormat="1" applyFont="1" applyFill="1" applyBorder="1" applyAlignment="1" applyProtection="1">
      <alignment vertical="center"/>
      <protection/>
    </xf>
    <xf numFmtId="0" fontId="3" fillId="53" borderId="0" xfId="94" applyFont="1" applyFill="1" applyBorder="1" applyAlignment="1">
      <alignment vertical="center"/>
      <protection/>
    </xf>
    <xf numFmtId="4" fontId="3" fillId="53" borderId="0" xfId="94" applyNumberFormat="1" applyFont="1" applyFill="1" applyBorder="1" applyAlignment="1" applyProtection="1">
      <alignment horizontal="right" vertical="center"/>
      <protection/>
    </xf>
    <xf numFmtId="2" fontId="2" fillId="53" borderId="0" xfId="94" applyNumberFormat="1" applyFont="1" applyFill="1">
      <alignment/>
      <protection/>
    </xf>
    <xf numFmtId="0" fontId="3" fillId="0" borderId="18" xfId="94" applyFont="1" applyFill="1" applyBorder="1" applyAlignment="1">
      <alignment horizontal="left"/>
      <protection/>
    </xf>
    <xf numFmtId="3" fontId="2" fillId="0" borderId="18" xfId="94" applyNumberFormat="1" applyFont="1" applyFill="1" applyBorder="1" applyAlignment="1">
      <alignment horizontal="right"/>
      <protection/>
    </xf>
    <xf numFmtId="3" fontId="2" fillId="0" borderId="18" xfId="94" applyNumberFormat="1" applyFont="1" applyFill="1" applyBorder="1" applyAlignment="1">
      <alignment/>
      <protection/>
    </xf>
    <xf numFmtId="3" fontId="2" fillId="0" borderId="18" xfId="94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7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Border="1" applyAlignment="1">
      <alignment/>
    </xf>
    <xf numFmtId="192" fontId="2" fillId="55" borderId="0" xfId="0" applyNumberFormat="1" applyFont="1" applyFill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3" fontId="2" fillId="0" borderId="18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3" fillId="54" borderId="19" xfId="0" applyFont="1" applyFill="1" applyBorder="1" applyAlignment="1">
      <alignment horizontal="center"/>
    </xf>
    <xf numFmtId="3" fontId="77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192" fontId="2" fillId="0" borderId="18" xfId="0" applyNumberFormat="1" applyFont="1" applyFill="1" applyBorder="1" applyAlignment="1">
      <alignment/>
    </xf>
    <xf numFmtId="192" fontId="2" fillId="0" borderId="18" xfId="0" applyNumberFormat="1" applyFont="1" applyFill="1" applyBorder="1" applyAlignment="1">
      <alignment horizontal="right" wrapText="1"/>
    </xf>
    <xf numFmtId="0" fontId="77" fillId="0" borderId="0" xfId="0" applyFont="1" applyAlignment="1">
      <alignment/>
    </xf>
    <xf numFmtId="3" fontId="2" fillId="53" borderId="0" xfId="0" applyNumberFormat="1" applyFont="1" applyFill="1" applyBorder="1" applyAlignment="1">
      <alignment/>
    </xf>
    <xf numFmtId="0" fontId="2" fillId="0" borderId="0" xfId="0" applyFont="1" applyAlignment="1" quotePrefix="1">
      <alignment/>
    </xf>
    <xf numFmtId="3" fontId="2" fillId="55" borderId="0" xfId="0" applyNumberFormat="1" applyFont="1" applyFill="1" applyAlignment="1" applyProtection="1">
      <alignment horizontal="right"/>
      <protection/>
    </xf>
    <xf numFmtId="3" fontId="56" fillId="0" borderId="0" xfId="97" applyNumberFormat="1" applyFont="1" applyBorder="1">
      <alignment/>
      <protection/>
    </xf>
    <xf numFmtId="3" fontId="21" fillId="0" borderId="0" xfId="97" applyNumberFormat="1" applyFont="1" applyBorder="1" applyAlignment="1" applyProtection="1">
      <alignment/>
      <protection locked="0"/>
    </xf>
    <xf numFmtId="3" fontId="2" fillId="0" borderId="0" xfId="97" applyNumberFormat="1" applyFont="1" applyBorder="1" applyAlignment="1">
      <alignment horizontal="right"/>
      <protection/>
    </xf>
    <xf numFmtId="184" fontId="56" fillId="0" borderId="18" xfId="97" applyFont="1" applyBorder="1">
      <alignment/>
      <protection/>
    </xf>
    <xf numFmtId="3" fontId="57" fillId="0" borderId="18" xfId="97" applyNumberFormat="1" applyFont="1" applyBorder="1" applyAlignment="1">
      <alignment horizontal="right"/>
      <protection/>
    </xf>
    <xf numFmtId="3" fontId="56" fillId="0" borderId="18" xfId="97" applyNumberFormat="1" applyFont="1" applyBorder="1" applyAlignment="1" applyProtection="1">
      <alignment horizontal="right"/>
      <protection locked="0"/>
    </xf>
    <xf numFmtId="4" fontId="2" fillId="53" borderId="0" xfId="94" applyNumberFormat="1" applyFont="1" applyFill="1" applyAlignment="1" applyProtection="1">
      <alignment horizontal="right"/>
      <protection/>
    </xf>
    <xf numFmtId="4" fontId="2" fillId="55" borderId="0" xfId="94" applyNumberFormat="1" applyFont="1" applyFill="1" applyAlignment="1" applyProtection="1">
      <alignment horizontal="right"/>
      <protection/>
    </xf>
    <xf numFmtId="4" fontId="2" fillId="55" borderId="0" xfId="94" applyNumberFormat="1" applyFont="1" applyFill="1" applyProtection="1">
      <alignment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3" fillId="53" borderId="0" xfId="0" applyFont="1" applyFill="1" applyAlignment="1" quotePrefix="1">
      <alignment horizontal="justify" vertical="center" wrapText="1"/>
    </xf>
    <xf numFmtId="0" fontId="2" fillId="0" borderId="0" xfId="0" applyFont="1" applyBorder="1" applyAlignment="1">
      <alignment horizontal="left"/>
    </xf>
    <xf numFmtId="184" fontId="3" fillId="54" borderId="19" xfId="0" applyNumberFormat="1" applyFont="1" applyFill="1" applyBorder="1" applyAlignment="1" applyProtection="1">
      <alignment horizontal="center"/>
      <protection locked="0"/>
    </xf>
    <xf numFmtId="0" fontId="3" fillId="54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111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old" xfId="52"/>
    <cellStyle name="Buena" xfId="53"/>
    <cellStyle name="Càlcul" xfId="54"/>
    <cellStyle name="Cálculo" xfId="55"/>
    <cellStyle name="Cel·la de comprovació" xfId="56"/>
    <cellStyle name="Cel·la enllaçada" xfId="57"/>
    <cellStyle name="Celda de comprobación" xfId="58"/>
    <cellStyle name="Celda vinculada" xfId="59"/>
    <cellStyle name="Comma" xfId="60"/>
    <cellStyle name="Èmfasi1" xfId="61"/>
    <cellStyle name="Èmfasi2" xfId="62"/>
    <cellStyle name="Èmfasi3" xfId="63"/>
    <cellStyle name="Èmfasi4" xfId="64"/>
    <cellStyle name="Èmfasi5" xfId="65"/>
    <cellStyle name="Èmfasi6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Hyperlink" xfId="74"/>
    <cellStyle name="Followed Hyperlink" xfId="75"/>
    <cellStyle name="Entrada" xfId="76"/>
    <cellStyle name="Entrada 2" xfId="77"/>
    <cellStyle name="Entrada 3" xfId="78"/>
    <cellStyle name="Euro" xfId="79"/>
    <cellStyle name="Euro 2" xfId="80"/>
    <cellStyle name="Euro 2 2" xfId="81"/>
    <cellStyle name="Euro 3" xfId="82"/>
    <cellStyle name="Incorrecte" xfId="83"/>
    <cellStyle name="Incorrecto" xfId="84"/>
    <cellStyle name="Comma [0]" xfId="85"/>
    <cellStyle name="Currency" xfId="86"/>
    <cellStyle name="Currency [0]" xfId="87"/>
    <cellStyle name="Monetari [0]_Full1" xfId="88"/>
    <cellStyle name="Monetari_Full1" xfId="89"/>
    <cellStyle name="Neutral" xfId="90"/>
    <cellStyle name="Neutral 2" xfId="91"/>
    <cellStyle name="Neutral 3" xfId="92"/>
    <cellStyle name="No-definido" xfId="93"/>
    <cellStyle name="Normal 2" xfId="94"/>
    <cellStyle name="Normal 3" xfId="95"/>
    <cellStyle name="Normal 4" xfId="96"/>
    <cellStyle name="Normal_N5-1-2-10" xfId="97"/>
    <cellStyle name="Normal_T1-1-05" xfId="98"/>
    <cellStyle name="Nota" xfId="99"/>
    <cellStyle name="Notas" xfId="100"/>
    <cellStyle name="Notas 2" xfId="101"/>
    <cellStyle name="Notas 3" xfId="102"/>
    <cellStyle name="Percent" xfId="103"/>
    <cellStyle name="Percentatge 2" xfId="104"/>
    <cellStyle name="Percentatge 2 2" xfId="105"/>
    <cellStyle name="Porcentual 2" xfId="106"/>
    <cellStyle name="Resultat" xfId="107"/>
    <cellStyle name="Salida" xfId="108"/>
    <cellStyle name="Text d'advertiment" xfId="109"/>
    <cellStyle name="Text explicatiu" xfId="110"/>
    <cellStyle name="Texto de advertencia" xfId="111"/>
    <cellStyle name="Texto explicativo" xfId="112"/>
    <cellStyle name="Títol" xfId="113"/>
    <cellStyle name="Títol 1" xfId="114"/>
    <cellStyle name="Títol 2" xfId="115"/>
    <cellStyle name="Títol 3" xfId="116"/>
    <cellStyle name="Títol 4" xfId="117"/>
    <cellStyle name="Título" xfId="118"/>
    <cellStyle name="Título 1" xfId="119"/>
    <cellStyle name="Título 2" xfId="120"/>
    <cellStyle name="Título 3" xfId="121"/>
    <cellStyle name="Total" xfId="122"/>
    <cellStyle name="Total 2" xfId="123"/>
    <cellStyle name="Total 3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114300</xdr:rowOff>
    </xdr:from>
    <xdr:to>
      <xdr:col>6</xdr:col>
      <xdr:colOff>666750</xdr:colOff>
      <xdr:row>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67300" y="114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45</xdr:row>
      <xdr:rowOff>133350</xdr:rowOff>
    </xdr:from>
    <xdr:to>
      <xdr:col>6</xdr:col>
      <xdr:colOff>647700</xdr:colOff>
      <xdr:row>45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048250" y="8239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89</xdr:row>
      <xdr:rowOff>142875</xdr:rowOff>
    </xdr:from>
    <xdr:to>
      <xdr:col>6</xdr:col>
      <xdr:colOff>647700</xdr:colOff>
      <xdr:row>89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048250" y="16097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133</xdr:row>
      <xdr:rowOff>133350</xdr:rowOff>
    </xdr:from>
    <xdr:to>
      <xdr:col>6</xdr:col>
      <xdr:colOff>666750</xdr:colOff>
      <xdr:row>133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067300" y="23926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79</xdr:row>
      <xdr:rowOff>0</xdr:rowOff>
    </xdr:from>
    <xdr:to>
      <xdr:col>11</xdr:col>
      <xdr:colOff>285750</xdr:colOff>
      <xdr:row>79</xdr:row>
      <xdr:rowOff>38100</xdr:rowOff>
    </xdr:to>
    <xdr:pic>
      <xdr:nvPicPr>
        <xdr:cNvPr id="1" name="Picture 4" descr="pix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3535025"/>
          <a:ext cx="7620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</xdr:row>
      <xdr:rowOff>85725</xdr:rowOff>
    </xdr:from>
    <xdr:to>
      <xdr:col>5</xdr:col>
      <xdr:colOff>638175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6162675" y="276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_interns\Estadistiques\Anuari%20DTES%202011\C5_Carreteres\Document%20de%20treball\52_%20AUTOPISTES%20(2011)%20definiti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020100\ECONOMIC\8%20VIACAT\2018\antic\2018\1%20DADES%20ASETA\2018\2.6%20Tr&#225;fico%20II%202018%20COBR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020100\ECONOMIC\8%20VIACAT\2018\antic\2018\DADES%20ACESA%20AUMAR\2018%20ACESA%20AP-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020100\ECONOMIC\8%20VIACAT\2018\antic\2018\DADES%20ACESA%20AUMAR\2018%20AUMAR%20AP-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 5.2"/>
      <sheetName val="5.2.16"/>
      <sheetName val="5.2.17"/>
      <sheetName val="5.2.19"/>
    </sheetNames>
    <sheetDataSet>
      <sheetData sheetId="2">
        <row r="174">
          <cell r="B174">
            <v>47056</v>
          </cell>
          <cell r="C174">
            <v>55732</v>
          </cell>
          <cell r="D174">
            <v>57556</v>
          </cell>
          <cell r="E174">
            <v>109766</v>
          </cell>
          <cell r="F174">
            <v>11670</v>
          </cell>
          <cell r="H174">
            <v>6886</v>
          </cell>
          <cell r="I174">
            <v>32260</v>
          </cell>
          <cell r="J174">
            <v>17832</v>
          </cell>
          <cell r="K174">
            <v>33800</v>
          </cell>
          <cell r="L174">
            <v>38152</v>
          </cell>
          <cell r="M174">
            <v>21212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D01"/>
      <sheetName val="GR01"/>
      <sheetName val="VK01"/>
      <sheetName val="IMD02"/>
      <sheetName val="GR02"/>
      <sheetName val="VK02"/>
      <sheetName val="IMD03"/>
      <sheetName val="GR03"/>
      <sheetName val="VK03"/>
      <sheetName val="IMD04"/>
      <sheetName val="GR04"/>
      <sheetName val="VK04"/>
      <sheetName val="IMD05"/>
      <sheetName val="GR05"/>
      <sheetName val="VK05"/>
      <sheetName val="IMD06"/>
      <sheetName val="GR06"/>
      <sheetName val="VK06"/>
      <sheetName val="IMD07"/>
      <sheetName val="GR07"/>
      <sheetName val="VK07"/>
      <sheetName val="IMD08"/>
      <sheetName val="GR08"/>
      <sheetName val="VK08"/>
      <sheetName val="IMD09"/>
      <sheetName val="GR09"/>
      <sheetName val="VK09"/>
      <sheetName val="IMD10"/>
      <sheetName val="GR10"/>
      <sheetName val="VK10"/>
      <sheetName val="IMD11"/>
      <sheetName val="GR11"/>
      <sheetName val="VK11"/>
      <sheetName val="IMD12"/>
      <sheetName val="GR12"/>
      <sheetName val="VK12"/>
    </sheetNames>
    <sheetDataSet>
      <sheetData sheetId="0">
        <row r="15">
          <cell r="L15">
            <v>33146.30116383339</v>
          </cell>
        </row>
        <row r="16">
          <cell r="L16">
            <v>38451.64054564857</v>
          </cell>
        </row>
        <row r="21">
          <cell r="L21">
            <v>42280.13014247826</v>
          </cell>
        </row>
        <row r="27">
          <cell r="L27">
            <v>28494.226422847754</v>
          </cell>
        </row>
        <row r="28">
          <cell r="L28">
            <v>14674.640600002269</v>
          </cell>
        </row>
        <row r="49">
          <cell r="L49">
            <v>25794</v>
          </cell>
        </row>
        <row r="50">
          <cell r="L50">
            <v>16222</v>
          </cell>
        </row>
        <row r="76">
          <cell r="L76">
            <v>7929.129032258065</v>
          </cell>
        </row>
        <row r="77">
          <cell r="L77">
            <v>30671.161290322583</v>
          </cell>
        </row>
      </sheetData>
      <sheetData sheetId="3">
        <row r="15">
          <cell r="L15">
            <v>33976.16561259011</v>
          </cell>
        </row>
        <row r="16">
          <cell r="L16">
            <v>39786.63454421227</v>
          </cell>
        </row>
        <row r="21">
          <cell r="L21">
            <v>43706.66143130293</v>
          </cell>
        </row>
        <row r="27">
          <cell r="L27">
            <v>30548.500530785564</v>
          </cell>
        </row>
        <row r="28">
          <cell r="L28">
            <v>15551.454700768805</v>
          </cell>
        </row>
        <row r="49">
          <cell r="L49">
            <v>27614</v>
          </cell>
        </row>
        <row r="50">
          <cell r="L50">
            <v>17399</v>
          </cell>
        </row>
        <row r="76">
          <cell r="L76">
            <v>7799.178571428571</v>
          </cell>
        </row>
        <row r="77">
          <cell r="L77">
            <v>32824.142857142855</v>
          </cell>
        </row>
      </sheetData>
      <sheetData sheetId="6">
        <row r="15">
          <cell r="L15">
            <v>38393.105722378525</v>
          </cell>
        </row>
        <row r="16">
          <cell r="L16">
            <v>47126.03337661837</v>
          </cell>
        </row>
        <row r="21">
          <cell r="L21">
            <v>46892.11003515697</v>
          </cell>
        </row>
        <row r="27">
          <cell r="L27">
            <v>33216.87555646874</v>
          </cell>
        </row>
        <row r="28">
          <cell r="L28">
            <v>18481.177311563202</v>
          </cell>
        </row>
        <row r="49">
          <cell r="L49">
            <v>26681</v>
          </cell>
        </row>
        <row r="50">
          <cell r="L50">
            <v>17236</v>
          </cell>
        </row>
        <row r="76">
          <cell r="L76">
            <v>7997.494878944614</v>
          </cell>
        </row>
        <row r="77">
          <cell r="L77">
            <v>30968.30729013092</v>
          </cell>
        </row>
      </sheetData>
      <sheetData sheetId="9">
        <row r="15">
          <cell r="L15">
            <v>42790.24905623376</v>
          </cell>
        </row>
        <row r="16">
          <cell r="L16">
            <v>48908.83785040521</v>
          </cell>
        </row>
        <row r="21">
          <cell r="L21">
            <v>49130.03377947737</v>
          </cell>
        </row>
        <row r="27">
          <cell r="L27">
            <v>34979.70452937013</v>
          </cell>
        </row>
        <row r="28">
          <cell r="L28">
            <v>20018.033767147383</v>
          </cell>
        </row>
        <row r="49">
          <cell r="L49">
            <v>26276</v>
          </cell>
        </row>
        <row r="50">
          <cell r="L50">
            <v>15209</v>
          </cell>
        </row>
        <row r="76">
          <cell r="L76">
            <v>5917.366666666667</v>
          </cell>
        </row>
        <row r="77">
          <cell r="L77">
            <v>32008.833333333332</v>
          </cell>
        </row>
      </sheetData>
      <sheetData sheetId="12">
        <row r="15">
          <cell r="L15">
            <v>44391.401961389005</v>
          </cell>
        </row>
        <row r="16">
          <cell r="L16">
            <v>48680.849265225836</v>
          </cell>
        </row>
        <row r="21">
          <cell r="L21">
            <v>50837.61857768458</v>
          </cell>
        </row>
        <row r="27">
          <cell r="L27">
            <v>35616.00061639614</v>
          </cell>
        </row>
        <row r="28">
          <cell r="L28">
            <v>19909.418719435394</v>
          </cell>
        </row>
        <row r="49">
          <cell r="L49">
            <v>27882</v>
          </cell>
        </row>
        <row r="50">
          <cell r="L50">
            <v>15290</v>
          </cell>
        </row>
        <row r="76">
          <cell r="L76">
            <v>5264.193548387096</v>
          </cell>
        </row>
        <row r="77">
          <cell r="L77">
            <v>33273.51612903226</v>
          </cell>
        </row>
      </sheetData>
      <sheetData sheetId="15">
        <row r="15">
          <cell r="L15">
            <v>45967.20718733148</v>
          </cell>
        </row>
        <row r="16">
          <cell r="L16">
            <v>51615.25973163278</v>
          </cell>
        </row>
        <row r="21">
          <cell r="L21">
            <v>55495.227533460806</v>
          </cell>
        </row>
        <row r="27">
          <cell r="L27">
            <v>39775.99787685774</v>
          </cell>
        </row>
        <row r="28">
          <cell r="L28">
            <v>22843.186774533944</v>
          </cell>
        </row>
        <row r="49">
          <cell r="L49">
            <v>27990</v>
          </cell>
        </row>
        <row r="50">
          <cell r="L50">
            <v>15909</v>
          </cell>
        </row>
        <row r="76">
          <cell r="L76">
            <v>5941.799999999999</v>
          </cell>
        </row>
        <row r="77">
          <cell r="L77">
            <v>33467.26666666666</v>
          </cell>
        </row>
      </sheetData>
      <sheetData sheetId="18">
        <row r="15">
          <cell r="L15">
            <v>58712.59435685513</v>
          </cell>
        </row>
        <row r="16">
          <cell r="L16">
            <v>63226.215945178</v>
          </cell>
        </row>
        <row r="21">
          <cell r="L21">
            <v>61000.57731450071</v>
          </cell>
        </row>
        <row r="27">
          <cell r="L27">
            <v>45138.19430176015</v>
          </cell>
        </row>
        <row r="28">
          <cell r="L28">
            <v>28422.106361975646</v>
          </cell>
        </row>
        <row r="49">
          <cell r="L49">
            <v>26812</v>
          </cell>
        </row>
        <row r="50">
          <cell r="L50">
            <v>16626</v>
          </cell>
        </row>
        <row r="76">
          <cell r="L76">
            <v>7527.032258064516</v>
          </cell>
        </row>
        <row r="77">
          <cell r="L77">
            <v>32072.45161290323</v>
          </cell>
        </row>
      </sheetData>
      <sheetData sheetId="21">
        <row r="15">
          <cell r="L15">
            <v>64352.24534917374</v>
          </cell>
        </row>
        <row r="16">
          <cell r="L16">
            <v>68601.52933311048</v>
          </cell>
        </row>
        <row r="21">
          <cell r="L21">
            <v>53226.55153272066</v>
          </cell>
        </row>
        <row r="27">
          <cell r="L27">
            <v>41227.83713444285</v>
          </cell>
        </row>
        <row r="28">
          <cell r="L28">
            <v>28595.304823391914</v>
          </cell>
        </row>
        <row r="49">
          <cell r="L49">
            <v>16789</v>
          </cell>
        </row>
        <row r="50">
          <cell r="L50">
            <v>14140</v>
          </cell>
        </row>
        <row r="76">
          <cell r="L76">
            <v>9642.354838709676</v>
          </cell>
        </row>
        <row r="77">
          <cell r="L77">
            <v>16775.61290322581</v>
          </cell>
        </row>
      </sheetData>
      <sheetData sheetId="24">
        <row r="15">
          <cell r="L15">
            <v>45469.31264401628</v>
          </cell>
        </row>
        <row r="16">
          <cell r="L16">
            <v>52303.176564368274</v>
          </cell>
        </row>
        <row r="21">
          <cell r="L21">
            <v>51017.02166985341</v>
          </cell>
        </row>
        <row r="27">
          <cell r="L27">
            <v>36193.101556970985</v>
          </cell>
        </row>
        <row r="28">
          <cell r="L28">
            <v>21341.714151717668</v>
          </cell>
        </row>
        <row r="49">
          <cell r="L49">
            <v>25524</v>
          </cell>
        </row>
        <row r="50">
          <cell r="L50">
            <v>16565</v>
          </cell>
        </row>
        <row r="76">
          <cell r="L76">
            <v>7326.966666666667</v>
          </cell>
        </row>
        <row r="77">
          <cell r="L77">
            <v>30036</v>
          </cell>
        </row>
      </sheetData>
      <sheetData sheetId="27">
        <row r="15">
          <cell r="L15">
            <v>39316.50503631938</v>
          </cell>
        </row>
        <row r="16">
          <cell r="L16">
            <v>47756.7884647527</v>
          </cell>
        </row>
        <row r="21">
          <cell r="L21">
            <v>48109.11799173503</v>
          </cell>
        </row>
        <row r="27">
          <cell r="L27">
            <v>34570.392438874056</v>
          </cell>
        </row>
        <row r="28">
          <cell r="L28">
            <v>19184.898959527076</v>
          </cell>
        </row>
        <row r="49">
          <cell r="L49">
            <v>29325</v>
          </cell>
        </row>
        <row r="50">
          <cell r="L50">
            <v>17331</v>
          </cell>
        </row>
        <row r="76">
          <cell r="L76">
            <v>6084.290322580646</v>
          </cell>
        </row>
        <row r="77">
          <cell r="L77">
            <v>34404.032258064515</v>
          </cell>
        </row>
      </sheetData>
      <sheetData sheetId="30">
        <row r="15">
          <cell r="L15">
            <v>35939.535126152856</v>
          </cell>
        </row>
        <row r="16">
          <cell r="L16">
            <v>44629.335740293274</v>
          </cell>
        </row>
        <row r="21">
          <cell r="L21">
            <v>46285.46653919695</v>
          </cell>
        </row>
        <row r="27">
          <cell r="L27">
            <v>31636.403043170558</v>
          </cell>
        </row>
        <row r="28">
          <cell r="L28">
            <v>17128.801735256184</v>
          </cell>
        </row>
        <row r="49">
          <cell r="L49">
            <v>29307</v>
          </cell>
        </row>
        <row r="50">
          <cell r="L50">
            <v>17895</v>
          </cell>
        </row>
        <row r="76">
          <cell r="L76">
            <v>6414.2</v>
          </cell>
        </row>
        <row r="77">
          <cell r="L77">
            <v>33872.7</v>
          </cell>
        </row>
      </sheetData>
      <sheetData sheetId="33">
        <row r="15">
          <cell r="L15">
            <v>34547.495599447735</v>
          </cell>
        </row>
        <row r="16">
          <cell r="L16">
            <v>43704.797888890316</v>
          </cell>
        </row>
        <row r="21">
          <cell r="L21">
            <v>44083.60328131746</v>
          </cell>
        </row>
        <row r="27">
          <cell r="L27">
            <v>30915.940688993905</v>
          </cell>
        </row>
        <row r="28">
          <cell r="L28">
            <v>16736.918067012353</v>
          </cell>
        </row>
        <row r="49">
          <cell r="L49">
            <v>24712</v>
          </cell>
        </row>
        <row r="50">
          <cell r="L50">
            <v>17042</v>
          </cell>
        </row>
        <row r="74">
          <cell r="L74">
            <v>8551.290322580646</v>
          </cell>
        </row>
        <row r="75">
          <cell r="L75">
            <v>29623.935483870973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 18"/>
      <sheetName val="Feb 18"/>
      <sheetName val="Mar 18"/>
      <sheetName val="Abr 18"/>
      <sheetName val="Mai 18"/>
      <sheetName val="Jun 18"/>
      <sheetName val="Jul 18"/>
      <sheetName val="Ago 18"/>
      <sheetName val="Sep 18"/>
      <sheetName val="Oct 18"/>
      <sheetName val="Nov 18"/>
      <sheetName val="Des 18"/>
    </sheetNames>
    <sheetDataSet>
      <sheetData sheetId="0">
        <row r="22">
          <cell r="H22">
            <v>6503.26098876802</v>
          </cell>
        </row>
      </sheetData>
      <sheetData sheetId="1">
        <row r="22">
          <cell r="H22">
            <v>6720.956840895021</v>
          </cell>
        </row>
      </sheetData>
      <sheetData sheetId="2">
        <row r="22">
          <cell r="H22">
            <v>8568.305297603256</v>
          </cell>
        </row>
      </sheetData>
      <sheetData sheetId="3">
        <row r="22">
          <cell r="H22">
            <v>9390.281595471833</v>
          </cell>
        </row>
      </sheetData>
      <sheetData sheetId="4">
        <row r="22">
          <cell r="H22">
            <v>8563.035906960291</v>
          </cell>
        </row>
      </sheetData>
      <sheetData sheetId="5">
        <row r="22">
          <cell r="H22">
            <v>9950.570177765983</v>
          </cell>
        </row>
      </sheetData>
      <sheetData sheetId="6">
        <row r="22">
          <cell r="H22">
            <v>13418.531529141237</v>
          </cell>
        </row>
      </sheetData>
      <sheetData sheetId="7">
        <row r="22">
          <cell r="H22">
            <v>15231.93207747413</v>
          </cell>
        </row>
      </sheetData>
      <sheetData sheetId="8">
        <row r="22">
          <cell r="H22">
            <v>10771.138763597772</v>
          </cell>
        </row>
      </sheetData>
      <sheetData sheetId="9">
        <row r="22">
          <cell r="H22">
            <v>9341.636066153711</v>
          </cell>
        </row>
      </sheetData>
      <sheetData sheetId="10">
        <row r="22">
          <cell r="H22">
            <v>8392.426461484036</v>
          </cell>
        </row>
      </sheetData>
      <sheetData sheetId="11">
        <row r="22">
          <cell r="H22">
            <v>8746.765640891705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 18"/>
      <sheetName val="Feb 18"/>
      <sheetName val="Mar 18"/>
      <sheetName val="Abr 18"/>
      <sheetName val="Mai 18"/>
      <sheetName val="Jun 18"/>
      <sheetName val="Jul 18"/>
      <sheetName val="Ago 18"/>
      <sheetName val="Sep 18"/>
      <sheetName val="Oct 18"/>
      <sheetName val="Nov 18"/>
      <sheetName val="Des 18"/>
      <sheetName val="Set 18"/>
    </sheetNames>
    <sheetDataSet>
      <sheetData sheetId="0">
        <row r="23">
          <cell r="H23">
            <v>13893.228624320258</v>
          </cell>
        </row>
      </sheetData>
      <sheetData sheetId="1">
        <row r="23">
          <cell r="H23">
            <v>13812.677542519958</v>
          </cell>
        </row>
      </sheetData>
      <sheetData sheetId="2">
        <row r="23">
          <cell r="H23">
            <v>17819.793243086893</v>
          </cell>
        </row>
      </sheetData>
      <sheetData sheetId="3">
        <row r="23">
          <cell r="H23">
            <v>18454.664005553623</v>
          </cell>
        </row>
      </sheetData>
      <sheetData sheetId="4">
        <row r="23">
          <cell r="H23">
            <v>17189.353580932548</v>
          </cell>
        </row>
      </sheetData>
      <sheetData sheetId="5">
        <row r="23">
          <cell r="H23">
            <v>17938.077866481544</v>
          </cell>
        </row>
      </sheetData>
      <sheetData sheetId="6">
        <row r="23">
          <cell r="H23">
            <v>25419.578271433526</v>
          </cell>
        </row>
      </sheetData>
      <sheetData sheetId="7">
        <row r="23">
          <cell r="H23">
            <v>33528.5248177716</v>
          </cell>
        </row>
      </sheetData>
      <sheetData sheetId="8">
        <row r="23">
          <cell r="H23">
            <v>23023.20097188476</v>
          </cell>
        </row>
      </sheetData>
      <sheetData sheetId="9">
        <row r="23">
          <cell r="H23">
            <v>20398.50491727409</v>
          </cell>
        </row>
      </sheetData>
      <sheetData sheetId="10">
        <row r="23">
          <cell r="H23">
            <v>19163.7550618998</v>
          </cell>
        </row>
      </sheetData>
      <sheetData sheetId="11">
        <row r="23">
          <cell r="H23">
            <v>19672.2179798681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itori.gencat.cat/ca/01_departament/documentacio/mobilitat/carreteres/pla_daforament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G19" sqref="G19"/>
    </sheetView>
  </sheetViews>
  <sheetFormatPr defaultColWidth="11.421875" defaultRowHeight="12.75"/>
  <cols>
    <col min="1" max="1" width="9.140625" style="34" customWidth="1"/>
    <col min="2" max="2" width="91.28125" style="34" customWidth="1"/>
    <col min="3" max="16384" width="11.421875" style="34" customWidth="1"/>
  </cols>
  <sheetData>
    <row r="1" spans="1:6" s="80" customFormat="1" ht="26.25" customHeight="1">
      <c r="A1" s="249" t="s">
        <v>1042</v>
      </c>
      <c r="B1" s="249" t="s">
        <v>966</v>
      </c>
      <c r="D1" s="253"/>
      <c r="E1" s="253"/>
      <c r="F1" s="253"/>
    </row>
    <row r="2" spans="1:6" s="80" customFormat="1" ht="19.5" customHeight="1">
      <c r="A2" s="249"/>
      <c r="B2" s="249"/>
      <c r="D2" s="253"/>
      <c r="E2" s="253"/>
      <c r="F2" s="253"/>
    </row>
    <row r="3" spans="1:6" s="80" customFormat="1" ht="19.5" customHeight="1">
      <c r="A3" s="34" t="s">
        <v>1022</v>
      </c>
      <c r="B3" s="120" t="s">
        <v>1316</v>
      </c>
      <c r="D3" s="253"/>
      <c r="E3" s="253"/>
      <c r="F3" s="253"/>
    </row>
    <row r="4" spans="1:6" s="80" customFormat="1" ht="19.5" customHeight="1">
      <c r="A4" s="34" t="s">
        <v>1021</v>
      </c>
      <c r="B4" s="120" t="s">
        <v>1301</v>
      </c>
      <c r="D4" s="253"/>
      <c r="E4" s="253"/>
      <c r="F4" s="253"/>
    </row>
    <row r="5" spans="1:2" s="250" customFormat="1" ht="19.5" customHeight="1">
      <c r="A5" s="250" t="s">
        <v>1043</v>
      </c>
      <c r="B5" s="335" t="s">
        <v>1302</v>
      </c>
    </row>
    <row r="6" spans="1:2" s="250" customFormat="1" ht="19.5" customHeight="1">
      <c r="A6" s="250" t="s">
        <v>1044</v>
      </c>
      <c r="B6" s="335" t="s">
        <v>1307</v>
      </c>
    </row>
    <row r="7" spans="1:2" s="250" customFormat="1" ht="19.5" customHeight="1">
      <c r="A7" s="250" t="s">
        <v>1045</v>
      </c>
      <c r="B7" s="335" t="s">
        <v>1313</v>
      </c>
    </row>
    <row r="8" spans="1:2" s="250" customFormat="1" ht="19.5" customHeight="1">
      <c r="A8" s="250" t="s">
        <v>1046</v>
      </c>
      <c r="B8" s="335" t="s">
        <v>1315</v>
      </c>
    </row>
    <row r="9" spans="1:2" s="250" customFormat="1" ht="19.5" customHeight="1">
      <c r="A9" s="250" t="s">
        <v>1047</v>
      </c>
      <c r="B9" s="377" t="s">
        <v>1165</v>
      </c>
    </row>
    <row r="10" spans="1:2" s="250" customFormat="1" ht="19.5" customHeight="1">
      <c r="A10" s="250" t="s">
        <v>1048</v>
      </c>
      <c r="B10" s="335" t="s">
        <v>1125</v>
      </c>
    </row>
    <row r="11" spans="1:2" s="250" customFormat="1" ht="19.5" customHeight="1">
      <c r="A11" s="250" t="s">
        <v>1049</v>
      </c>
      <c r="B11" s="335" t="s">
        <v>1126</v>
      </c>
    </row>
    <row r="12" spans="1:2" s="250" customFormat="1" ht="19.5" customHeight="1">
      <c r="A12" s="250" t="s">
        <v>1025</v>
      </c>
      <c r="B12" s="335" t="s">
        <v>1127</v>
      </c>
    </row>
    <row r="13" spans="1:2" s="250" customFormat="1" ht="19.5" customHeight="1">
      <c r="A13" s="250" t="s">
        <v>1026</v>
      </c>
      <c r="B13" s="335" t="s">
        <v>1128</v>
      </c>
    </row>
    <row r="14" spans="1:2" s="250" customFormat="1" ht="19.5" customHeight="1">
      <c r="A14" s="250" t="s">
        <v>1027</v>
      </c>
      <c r="B14" s="335" t="s">
        <v>1129</v>
      </c>
    </row>
    <row r="15" spans="1:2" s="250" customFormat="1" ht="19.5" customHeight="1">
      <c r="A15" s="250" t="s">
        <v>1028</v>
      </c>
      <c r="B15" s="335" t="s">
        <v>1130</v>
      </c>
    </row>
    <row r="16" spans="1:2" s="250" customFormat="1" ht="19.5" customHeight="1">
      <c r="A16" s="250" t="s">
        <v>1029</v>
      </c>
      <c r="B16" s="335" t="s">
        <v>1131</v>
      </c>
    </row>
    <row r="17" spans="1:2" s="250" customFormat="1" ht="19.5" customHeight="1">
      <c r="A17" s="250" t="s">
        <v>1030</v>
      </c>
      <c r="B17" s="335" t="s">
        <v>1161</v>
      </c>
    </row>
    <row r="18" spans="1:2" s="250" customFormat="1" ht="19.5" customHeight="1">
      <c r="A18" s="250" t="s">
        <v>1031</v>
      </c>
      <c r="B18" s="335" t="s">
        <v>1321</v>
      </c>
    </row>
    <row r="19" spans="1:2" s="250" customFormat="1" ht="19.5" customHeight="1">
      <c r="A19" s="250" t="s">
        <v>1032</v>
      </c>
      <c r="B19" s="335" t="s">
        <v>1318</v>
      </c>
    </row>
    <row r="20" spans="1:2" s="250" customFormat="1" ht="19.5" customHeight="1">
      <c r="A20" s="250" t="s">
        <v>1033</v>
      </c>
      <c r="B20" s="335" t="s">
        <v>1339</v>
      </c>
    </row>
    <row r="21" spans="1:2" s="250" customFormat="1" ht="19.5" customHeight="1">
      <c r="A21" s="250" t="s">
        <v>1034</v>
      </c>
      <c r="B21" s="335" t="s">
        <v>1163</v>
      </c>
    </row>
    <row r="22" spans="1:2" s="250" customFormat="1" ht="19.5" customHeight="1">
      <c r="A22" s="250" t="s">
        <v>1035</v>
      </c>
      <c r="B22" s="335" t="s">
        <v>1164</v>
      </c>
    </row>
    <row r="23" s="250" customFormat="1" ht="19.5" customHeight="1"/>
    <row r="24" spans="1:2" ht="15">
      <c r="A24" s="250"/>
      <c r="B24" s="321"/>
    </row>
    <row r="25" ht="19.5" customHeight="1"/>
    <row r="26" ht="19.5" customHeight="1"/>
    <row r="27" ht="19.5" customHeight="1"/>
    <row r="28" ht="19.5" customHeight="1"/>
  </sheetData>
  <sheetProtection/>
  <hyperlinks>
    <hyperlink ref="B9" r:id="rId1" display="Intensitat de circulació a les carreteres de la Generalitat, 2016 (Pla d'Aforaments 2016)"/>
  </hyperlinks>
  <printOptions/>
  <pageMargins left="0.1968503937007874" right="0.75" top="0.5511811023622047" bottom="0" header="0" footer="0"/>
  <pageSetup fitToHeight="1" fitToWidth="1"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zoomScalePageLayoutView="0" workbookViewId="0" topLeftCell="A1">
      <selection activeCell="G19" sqref="G19"/>
    </sheetView>
  </sheetViews>
  <sheetFormatPr defaultColWidth="11.421875" defaultRowHeight="12.75"/>
  <cols>
    <col min="1" max="1" width="15.7109375" style="0" customWidth="1"/>
    <col min="2" max="2" width="21.421875" style="0" customWidth="1"/>
    <col min="3" max="3" width="15.7109375" style="0" customWidth="1"/>
    <col min="4" max="4" width="17.7109375" style="0" customWidth="1"/>
    <col min="5" max="6" width="15.7109375" style="0" customWidth="1"/>
  </cols>
  <sheetData>
    <row r="1" spans="1:6" s="128" customFormat="1" ht="15" customHeight="1">
      <c r="A1" s="337" t="s">
        <v>1135</v>
      </c>
      <c r="B1" s="134"/>
      <c r="C1" s="134"/>
      <c r="D1" s="134"/>
      <c r="E1" s="134"/>
      <c r="F1" s="134"/>
    </row>
    <row r="2" spans="1:6" s="128" customFormat="1" ht="15" customHeight="1">
      <c r="A2" s="125" t="s">
        <v>954</v>
      </c>
      <c r="B2" s="126"/>
      <c r="C2" s="126"/>
      <c r="D2" s="126"/>
      <c r="E2" s="126"/>
      <c r="F2" s="126"/>
    </row>
    <row r="3" spans="1:6" ht="15" customHeight="1">
      <c r="A3" s="131"/>
      <c r="B3" s="131"/>
      <c r="C3" s="131"/>
      <c r="D3" s="131"/>
      <c r="E3" s="131"/>
      <c r="F3" s="131"/>
    </row>
    <row r="4" spans="1:6" s="144" customFormat="1" ht="15" customHeight="1">
      <c r="A4" s="457"/>
      <c r="B4" s="457" t="s">
        <v>348</v>
      </c>
      <c r="C4" s="457" t="s">
        <v>350</v>
      </c>
      <c r="D4" s="457" t="s">
        <v>391</v>
      </c>
      <c r="E4" s="457" t="s">
        <v>969</v>
      </c>
      <c r="F4" s="556" t="s">
        <v>1081</v>
      </c>
    </row>
    <row r="5" spans="1:6" s="144" customFormat="1" ht="15" customHeight="1">
      <c r="A5" s="557" t="s">
        <v>950</v>
      </c>
      <c r="B5" s="557" t="s">
        <v>349</v>
      </c>
      <c r="C5" s="557" t="s">
        <v>351</v>
      </c>
      <c r="D5" s="557" t="s">
        <v>968</v>
      </c>
      <c r="E5" s="557" t="s">
        <v>286</v>
      </c>
      <c r="F5" s="558" t="s">
        <v>309</v>
      </c>
    </row>
    <row r="6" spans="1:6" s="144" customFormat="1" ht="15" customHeight="1">
      <c r="A6" s="460"/>
      <c r="B6" s="460" t="s">
        <v>951</v>
      </c>
      <c r="C6" s="460"/>
      <c r="D6" s="460" t="s">
        <v>308</v>
      </c>
      <c r="E6" s="460" t="s">
        <v>952</v>
      </c>
      <c r="F6" s="559"/>
    </row>
    <row r="7" spans="1:6" s="133" customFormat="1" ht="15" customHeight="1">
      <c r="A7" s="145"/>
      <c r="B7" s="145"/>
      <c r="C7" s="145"/>
      <c r="D7" s="145"/>
      <c r="E7" s="145"/>
      <c r="F7" s="127"/>
    </row>
    <row r="8" spans="1:6" s="133" customFormat="1" ht="15" customHeight="1">
      <c r="A8" s="77">
        <v>349</v>
      </c>
      <c r="B8" s="282" t="s">
        <v>1041</v>
      </c>
      <c r="C8" s="28">
        <v>511</v>
      </c>
      <c r="D8" s="21">
        <v>65221374</v>
      </c>
      <c r="E8" s="293">
        <v>0.0426</v>
      </c>
      <c r="F8" s="169" t="s">
        <v>310</v>
      </c>
    </row>
    <row r="9" spans="1:6" s="37" customFormat="1" ht="15" customHeight="1">
      <c r="A9" s="567">
        <v>134</v>
      </c>
      <c r="B9" s="473" t="s">
        <v>378</v>
      </c>
      <c r="C9" s="528">
        <v>1393</v>
      </c>
      <c r="D9" s="432">
        <v>68271693</v>
      </c>
      <c r="E9" s="587">
        <v>0.036</v>
      </c>
      <c r="F9" s="569" t="s">
        <v>310</v>
      </c>
    </row>
    <row r="10" spans="1:6" s="37" customFormat="1" ht="15" customHeight="1">
      <c r="A10" s="77">
        <v>285</v>
      </c>
      <c r="B10" s="282" t="s">
        <v>379</v>
      </c>
      <c r="C10" s="28">
        <v>3856</v>
      </c>
      <c r="D10" s="21">
        <v>401399737</v>
      </c>
      <c r="E10" s="293">
        <v>0.0664</v>
      </c>
      <c r="F10" s="169" t="s">
        <v>310</v>
      </c>
    </row>
    <row r="11" spans="1:6" s="37" customFormat="1" ht="15" customHeight="1">
      <c r="A11" s="567">
        <v>190</v>
      </c>
      <c r="B11" s="473" t="s">
        <v>380</v>
      </c>
      <c r="C11" s="528">
        <v>7379</v>
      </c>
      <c r="D11" s="432">
        <v>511584226</v>
      </c>
      <c r="E11" s="587">
        <v>0.0565</v>
      </c>
      <c r="F11" s="569" t="s">
        <v>310</v>
      </c>
    </row>
    <row r="12" spans="1:6" s="37" customFormat="1" ht="15" customHeight="1">
      <c r="A12" s="77">
        <v>154</v>
      </c>
      <c r="B12" s="282" t="s">
        <v>381</v>
      </c>
      <c r="C12" s="28">
        <v>12442</v>
      </c>
      <c r="D12" s="21">
        <v>701036295</v>
      </c>
      <c r="E12" s="293">
        <v>0.1198</v>
      </c>
      <c r="F12" s="169" t="s">
        <v>310</v>
      </c>
    </row>
    <row r="13" spans="1:6" s="37" customFormat="1" ht="15" customHeight="1">
      <c r="A13" s="567">
        <v>33</v>
      </c>
      <c r="B13" s="473" t="s">
        <v>382</v>
      </c>
      <c r="C13" s="528">
        <v>16335</v>
      </c>
      <c r="D13" s="432">
        <v>196162883</v>
      </c>
      <c r="E13" s="587">
        <v>0.0755</v>
      </c>
      <c r="F13" s="569" t="s">
        <v>310</v>
      </c>
    </row>
    <row r="14" spans="1:6" s="37" customFormat="1" ht="15" customHeight="1">
      <c r="A14" s="77">
        <v>93</v>
      </c>
      <c r="B14" s="282" t="s">
        <v>383</v>
      </c>
      <c r="C14" s="28">
        <v>25831</v>
      </c>
      <c r="D14" s="21">
        <v>877535988</v>
      </c>
      <c r="E14" s="293">
        <v>0.0628</v>
      </c>
      <c r="F14" s="169" t="s">
        <v>310</v>
      </c>
    </row>
    <row r="15" spans="1:6" s="37" customFormat="1" ht="15" customHeight="1">
      <c r="A15" s="473">
        <v>0</v>
      </c>
      <c r="B15" s="473" t="s">
        <v>1038</v>
      </c>
      <c r="C15" s="569">
        <v>0</v>
      </c>
      <c r="D15" s="569">
        <v>0</v>
      </c>
      <c r="E15" s="588">
        <v>0</v>
      </c>
      <c r="F15" s="569" t="s">
        <v>310</v>
      </c>
    </row>
    <row r="16" spans="1:6" s="37" customFormat="1" ht="15" customHeight="1">
      <c r="A16" s="39">
        <v>0</v>
      </c>
      <c r="B16" s="282" t="s">
        <v>1023</v>
      </c>
      <c r="C16" s="169">
        <v>0</v>
      </c>
      <c r="D16" s="169">
        <v>0</v>
      </c>
      <c r="E16" s="225">
        <v>0</v>
      </c>
      <c r="F16" s="169" t="s">
        <v>310</v>
      </c>
    </row>
    <row r="17" spans="1:6" s="37" customFormat="1" ht="15" customHeight="1">
      <c r="A17" s="473">
        <v>0</v>
      </c>
      <c r="B17" s="473" t="s">
        <v>1024</v>
      </c>
      <c r="C17" s="569">
        <v>0</v>
      </c>
      <c r="D17" s="569">
        <v>0</v>
      </c>
      <c r="E17" s="588">
        <v>0</v>
      </c>
      <c r="F17" s="569" t="s">
        <v>310</v>
      </c>
    </row>
    <row r="18" spans="1:6" s="37" customFormat="1" ht="15" customHeight="1">
      <c r="A18" s="155"/>
      <c r="B18" s="44"/>
      <c r="C18" s="152"/>
      <c r="D18" s="45"/>
      <c r="E18" s="156"/>
      <c r="F18" s="44"/>
    </row>
    <row r="19" spans="1:6" s="162" customFormat="1" ht="15" customHeight="1">
      <c r="A19" s="584" t="s">
        <v>340</v>
      </c>
      <c r="B19" s="561"/>
      <c r="C19" s="585" t="s">
        <v>350</v>
      </c>
      <c r="D19" s="560" t="s">
        <v>341</v>
      </c>
      <c r="E19" s="561" t="s">
        <v>342</v>
      </c>
      <c r="F19" s="562"/>
    </row>
    <row r="20" spans="1:6" s="162" customFormat="1" ht="15" customHeight="1">
      <c r="A20" s="563">
        <v>1239</v>
      </c>
      <c r="B20" s="586"/>
      <c r="C20" s="564">
        <v>4967</v>
      </c>
      <c r="D20" s="564">
        <v>2246665021</v>
      </c>
      <c r="E20" s="565">
        <v>0.0634</v>
      </c>
      <c r="F20" s="561"/>
    </row>
    <row r="21" spans="1:6" s="162" customFormat="1" ht="15" customHeight="1">
      <c r="A21" s="228"/>
      <c r="B21" s="263"/>
      <c r="C21" s="228"/>
      <c r="D21" s="228"/>
      <c r="E21" s="264"/>
      <c r="F21" s="265"/>
    </row>
    <row r="22" spans="1:6" s="144" customFormat="1" ht="15" customHeight="1">
      <c r="A22" s="31" t="s">
        <v>311</v>
      </c>
      <c r="B22" s="146"/>
      <c r="C22" s="146"/>
      <c r="D22" s="146"/>
      <c r="E22" s="146"/>
      <c r="F22" s="146"/>
    </row>
    <row r="23" spans="1:6" s="37" customFormat="1" ht="15" customHeight="1">
      <c r="A23" s="336" t="s">
        <v>1154</v>
      </c>
      <c r="B23" s="111"/>
      <c r="C23" s="111"/>
      <c r="D23" s="111"/>
      <c r="E23" s="111"/>
      <c r="F23" s="111"/>
    </row>
    <row r="24" ht="12.75">
      <c r="A24" s="767"/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zoomScaleSheetLayoutView="100" zoomScalePageLayoutView="0" workbookViewId="0" topLeftCell="A1">
      <selection activeCell="G19" sqref="G19"/>
    </sheetView>
  </sheetViews>
  <sheetFormatPr defaultColWidth="11.421875" defaultRowHeight="12.75"/>
  <cols>
    <col min="1" max="1" width="15.7109375" style="0" customWidth="1"/>
    <col min="2" max="2" width="22.421875" style="0" customWidth="1"/>
    <col min="3" max="3" width="15.7109375" style="0" customWidth="1"/>
    <col min="4" max="4" width="17.7109375" style="0" customWidth="1"/>
    <col min="5" max="5" width="16.28125" style="0" customWidth="1"/>
    <col min="6" max="6" width="15.7109375" style="0" customWidth="1"/>
  </cols>
  <sheetData>
    <row r="1" spans="1:6" s="135" customFormat="1" ht="15" customHeight="1">
      <c r="A1" s="337" t="s">
        <v>1136</v>
      </c>
      <c r="B1" s="134"/>
      <c r="C1" s="134"/>
      <c r="D1" s="134"/>
      <c r="E1" s="134"/>
      <c r="F1" s="134"/>
    </row>
    <row r="2" spans="1:6" s="128" customFormat="1" ht="15" customHeight="1">
      <c r="A2" s="125" t="s">
        <v>955</v>
      </c>
      <c r="B2" s="126"/>
      <c r="C2" s="126"/>
      <c r="D2" s="126"/>
      <c r="E2" s="126"/>
      <c r="F2" s="126"/>
    </row>
    <row r="3" spans="1:6" ht="15" customHeight="1">
      <c r="A3" s="131"/>
      <c r="B3" s="131"/>
      <c r="C3" s="131"/>
      <c r="D3" s="131"/>
      <c r="E3" s="131"/>
      <c r="F3" s="131"/>
    </row>
    <row r="4" spans="1:6" s="83" customFormat="1" ht="12.75">
      <c r="A4" s="457"/>
      <c r="B4" s="457" t="s">
        <v>348</v>
      </c>
      <c r="C4" s="457" t="s">
        <v>350</v>
      </c>
      <c r="D4" s="457" t="s">
        <v>391</v>
      </c>
      <c r="E4" s="457" t="s">
        <v>969</v>
      </c>
      <c r="F4" s="556" t="s">
        <v>1081</v>
      </c>
    </row>
    <row r="5" spans="1:6" s="83" customFormat="1" ht="12.75">
      <c r="A5" s="557" t="s">
        <v>950</v>
      </c>
      <c r="B5" s="557" t="s">
        <v>349</v>
      </c>
      <c r="C5" s="557" t="s">
        <v>351</v>
      </c>
      <c r="D5" s="557" t="s">
        <v>968</v>
      </c>
      <c r="E5" s="557" t="s">
        <v>286</v>
      </c>
      <c r="F5" s="558" t="s">
        <v>309</v>
      </c>
    </row>
    <row r="6" spans="1:6" s="83" customFormat="1" ht="12.75">
      <c r="A6" s="460"/>
      <c r="B6" s="460" t="s">
        <v>951</v>
      </c>
      <c r="C6" s="460"/>
      <c r="D6" s="460" t="s">
        <v>308</v>
      </c>
      <c r="E6" s="460" t="s">
        <v>952</v>
      </c>
      <c r="F6" s="559"/>
    </row>
    <row r="7" spans="1:6" ht="12.75">
      <c r="A7" s="145"/>
      <c r="B7" s="145"/>
      <c r="C7" s="145"/>
      <c r="D7" s="145"/>
      <c r="E7" s="145"/>
      <c r="F7" s="127"/>
    </row>
    <row r="8" spans="1:6" ht="15" customHeight="1">
      <c r="A8" s="312">
        <v>579</v>
      </c>
      <c r="B8" s="282" t="s">
        <v>1041</v>
      </c>
      <c r="C8" s="289">
        <v>480</v>
      </c>
      <c r="D8" s="290">
        <v>101598153</v>
      </c>
      <c r="E8" s="224">
        <v>0.0424</v>
      </c>
      <c r="F8" s="221" t="s">
        <v>310</v>
      </c>
    </row>
    <row r="9" spans="1:6" ht="15" customHeight="1">
      <c r="A9" s="590">
        <v>266</v>
      </c>
      <c r="B9" s="473" t="s">
        <v>378</v>
      </c>
      <c r="C9" s="528">
        <v>1451</v>
      </c>
      <c r="D9" s="432">
        <v>140952580</v>
      </c>
      <c r="E9" s="591">
        <v>0.0607</v>
      </c>
      <c r="F9" s="540" t="s">
        <v>310</v>
      </c>
    </row>
    <row r="10" spans="1:6" ht="15" customHeight="1">
      <c r="A10" s="312">
        <v>383</v>
      </c>
      <c r="B10" s="282" t="s">
        <v>379</v>
      </c>
      <c r="C10" s="289">
        <v>3243</v>
      </c>
      <c r="D10" s="290">
        <v>453175313</v>
      </c>
      <c r="E10" s="224">
        <v>0.0762</v>
      </c>
      <c r="F10" s="221" t="s">
        <v>310</v>
      </c>
    </row>
    <row r="11" spans="1:6" ht="15" customHeight="1">
      <c r="A11" s="590">
        <v>322</v>
      </c>
      <c r="B11" s="473" t="s">
        <v>380</v>
      </c>
      <c r="C11" s="528">
        <v>6577</v>
      </c>
      <c r="D11" s="432">
        <v>772070550</v>
      </c>
      <c r="E11" s="591">
        <v>0.0959</v>
      </c>
      <c r="F11" s="540" t="s">
        <v>310</v>
      </c>
    </row>
    <row r="12" spans="1:6" ht="15" customHeight="1">
      <c r="A12" s="312">
        <v>7</v>
      </c>
      <c r="B12" s="282" t="s">
        <v>381</v>
      </c>
      <c r="C12" s="289">
        <v>12909</v>
      </c>
      <c r="D12" s="290">
        <v>32751618</v>
      </c>
      <c r="E12" s="224">
        <v>0.0429</v>
      </c>
      <c r="F12" s="221" t="s">
        <v>310</v>
      </c>
    </row>
    <row r="13" spans="1:6" ht="15" customHeight="1">
      <c r="A13" s="592">
        <v>0</v>
      </c>
      <c r="B13" s="473" t="s">
        <v>382</v>
      </c>
      <c r="C13" s="540">
        <v>0</v>
      </c>
      <c r="D13" s="540">
        <v>0</v>
      </c>
      <c r="E13" s="591">
        <v>0</v>
      </c>
      <c r="F13" s="540" t="s">
        <v>310</v>
      </c>
    </row>
    <row r="14" spans="1:6" ht="15" customHeight="1">
      <c r="A14" s="313">
        <v>0</v>
      </c>
      <c r="B14" s="282" t="s">
        <v>383</v>
      </c>
      <c r="C14" s="30">
        <v>0</v>
      </c>
      <c r="D14" s="30">
        <v>0</v>
      </c>
      <c r="E14" s="224">
        <v>0</v>
      </c>
      <c r="F14" s="221" t="s">
        <v>310</v>
      </c>
    </row>
    <row r="15" spans="1:6" ht="15" customHeight="1">
      <c r="A15" s="593">
        <v>0</v>
      </c>
      <c r="B15" s="473" t="s">
        <v>1038</v>
      </c>
      <c r="C15" s="509">
        <v>0</v>
      </c>
      <c r="D15" s="509">
        <v>0</v>
      </c>
      <c r="E15" s="591">
        <v>0</v>
      </c>
      <c r="F15" s="540" t="s">
        <v>310</v>
      </c>
    </row>
    <row r="16" spans="1:6" ht="15" customHeight="1">
      <c r="A16" s="313">
        <v>0</v>
      </c>
      <c r="B16" s="282" t="s">
        <v>1023</v>
      </c>
      <c r="C16" s="33">
        <v>0</v>
      </c>
      <c r="D16" s="33">
        <v>0</v>
      </c>
      <c r="E16" s="224">
        <v>0</v>
      </c>
      <c r="F16" s="221" t="s">
        <v>310</v>
      </c>
    </row>
    <row r="17" spans="1:6" ht="15" customHeight="1">
      <c r="A17" s="593"/>
      <c r="B17" s="473" t="s">
        <v>1024</v>
      </c>
      <c r="C17" s="509">
        <v>0</v>
      </c>
      <c r="D17" s="509">
        <v>0</v>
      </c>
      <c r="E17" s="591">
        <v>0</v>
      </c>
      <c r="F17" s="540" t="s">
        <v>310</v>
      </c>
    </row>
    <row r="18" spans="1:6" ht="15" customHeight="1">
      <c r="A18" s="223"/>
      <c r="B18" s="216"/>
      <c r="C18" s="33"/>
      <c r="D18" s="33"/>
      <c r="E18" s="219"/>
      <c r="F18" s="216"/>
    </row>
    <row r="19" spans="1:6" s="163" customFormat="1" ht="15" customHeight="1">
      <c r="A19" s="570" t="s">
        <v>340</v>
      </c>
      <c r="B19" s="571"/>
      <c r="C19" s="572" t="s">
        <v>350</v>
      </c>
      <c r="D19" s="572" t="s">
        <v>341</v>
      </c>
      <c r="E19" s="576" t="s">
        <v>342</v>
      </c>
      <c r="F19" s="573"/>
    </row>
    <row r="20" spans="1:6" s="160" customFormat="1" ht="15" customHeight="1">
      <c r="A20" s="563">
        <v>1556</v>
      </c>
      <c r="B20" s="586"/>
      <c r="C20" s="564">
        <v>2640</v>
      </c>
      <c r="D20" s="563">
        <v>1500548215</v>
      </c>
      <c r="E20" s="589">
        <v>0.0831</v>
      </c>
      <c r="F20" s="576"/>
    </row>
    <row r="21" spans="1:6" s="160" customFormat="1" ht="15" customHeight="1">
      <c r="A21" s="228"/>
      <c r="B21" s="263"/>
      <c r="C21" s="338"/>
      <c r="D21" s="228"/>
      <c r="E21" s="264"/>
      <c r="F21" s="257"/>
    </row>
    <row r="22" spans="1:31" s="37" customFormat="1" ht="15" customHeight="1">
      <c r="A22" s="31" t="s">
        <v>311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6" s="37" customFormat="1" ht="15" customHeight="1">
      <c r="A23" s="336" t="s">
        <v>1154</v>
      </c>
      <c r="B23" s="111"/>
      <c r="C23" s="111"/>
      <c r="D23" s="111"/>
      <c r="E23" s="111"/>
      <c r="F23" s="111"/>
    </row>
    <row r="24" ht="12.75">
      <c r="A24" s="767"/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SheetLayoutView="100" zoomScalePageLayoutView="0" workbookViewId="0" topLeftCell="A1">
      <selection activeCell="G19" sqref="G19"/>
    </sheetView>
  </sheetViews>
  <sheetFormatPr defaultColWidth="11.421875" defaultRowHeight="12.75"/>
  <cols>
    <col min="1" max="1" width="15.7109375" style="0" customWidth="1"/>
    <col min="2" max="2" width="20.7109375" style="0" customWidth="1"/>
    <col min="3" max="3" width="15.7109375" style="0" customWidth="1"/>
    <col min="4" max="4" width="17.7109375" style="0" customWidth="1"/>
    <col min="5" max="5" width="16.8515625" style="0" customWidth="1"/>
    <col min="6" max="6" width="15.7109375" style="0" customWidth="1"/>
  </cols>
  <sheetData>
    <row r="1" spans="1:6" s="137" customFormat="1" ht="15" customHeight="1">
      <c r="A1" s="337" t="s">
        <v>1137</v>
      </c>
      <c r="B1" s="136"/>
      <c r="C1" s="136"/>
      <c r="D1" s="136"/>
      <c r="E1" s="136"/>
      <c r="F1" s="136"/>
    </row>
    <row r="2" spans="1:6" s="137" customFormat="1" ht="15" customHeight="1">
      <c r="A2" s="125" t="s">
        <v>956</v>
      </c>
      <c r="B2" s="138"/>
      <c r="C2" s="138"/>
      <c r="D2" s="138"/>
      <c r="E2" s="138"/>
      <c r="F2" s="138"/>
    </row>
    <row r="3" spans="1:6" ht="15" customHeight="1">
      <c r="A3" s="131"/>
      <c r="B3" s="131"/>
      <c r="C3" s="131"/>
      <c r="D3" s="131"/>
      <c r="E3" s="131"/>
      <c r="F3" s="131"/>
    </row>
    <row r="4" spans="1:6" s="147" customFormat="1" ht="15" customHeight="1">
      <c r="A4" s="457"/>
      <c r="B4" s="457" t="s">
        <v>348</v>
      </c>
      <c r="C4" s="457" t="s">
        <v>350</v>
      </c>
      <c r="D4" s="457" t="s">
        <v>391</v>
      </c>
      <c r="E4" s="457" t="s">
        <v>969</v>
      </c>
      <c r="F4" s="556" t="s">
        <v>1081</v>
      </c>
    </row>
    <row r="5" spans="1:6" s="147" customFormat="1" ht="15" customHeight="1">
      <c r="A5" s="557" t="s">
        <v>950</v>
      </c>
      <c r="B5" s="557" t="s">
        <v>349</v>
      </c>
      <c r="C5" s="557" t="s">
        <v>351</v>
      </c>
      <c r="D5" s="557" t="s">
        <v>968</v>
      </c>
      <c r="E5" s="557" t="s">
        <v>286</v>
      </c>
      <c r="F5" s="558" t="s">
        <v>309</v>
      </c>
    </row>
    <row r="6" spans="1:6" s="147" customFormat="1" ht="15" customHeight="1">
      <c r="A6" s="460"/>
      <c r="B6" s="460" t="s">
        <v>951</v>
      </c>
      <c r="C6" s="460"/>
      <c r="D6" s="460" t="s">
        <v>308</v>
      </c>
      <c r="E6" s="460" t="s">
        <v>952</v>
      </c>
      <c r="F6" s="559"/>
    </row>
    <row r="7" spans="1:6" s="146" customFormat="1" ht="12">
      <c r="A7" s="145"/>
      <c r="B7" s="145"/>
      <c r="C7" s="37"/>
      <c r="D7" s="37"/>
      <c r="E7" s="37"/>
      <c r="F7" s="37"/>
    </row>
    <row r="8" spans="1:6" s="146" customFormat="1" ht="15" customHeight="1">
      <c r="A8" s="314">
        <v>277</v>
      </c>
      <c r="B8" s="282" t="s">
        <v>1041</v>
      </c>
      <c r="C8" s="285">
        <v>334</v>
      </c>
      <c r="D8" s="285">
        <v>33836552</v>
      </c>
      <c r="E8" s="294">
        <v>0.0185</v>
      </c>
      <c r="F8" s="169" t="s">
        <v>310</v>
      </c>
    </row>
    <row r="9" spans="1:6" s="146" customFormat="1" ht="15" customHeight="1">
      <c r="A9" s="599">
        <v>108</v>
      </c>
      <c r="B9" s="473" t="s">
        <v>378</v>
      </c>
      <c r="C9" s="567">
        <v>1320</v>
      </c>
      <c r="D9" s="567">
        <v>52014708</v>
      </c>
      <c r="E9" s="600">
        <v>0.0234</v>
      </c>
      <c r="F9" s="569" t="s">
        <v>310</v>
      </c>
    </row>
    <row r="10" spans="1:6" s="146" customFormat="1" ht="15" customHeight="1">
      <c r="A10" s="314">
        <v>122</v>
      </c>
      <c r="B10" s="282" t="s">
        <v>379</v>
      </c>
      <c r="C10" s="285">
        <v>3109</v>
      </c>
      <c r="D10" s="285">
        <v>138022294</v>
      </c>
      <c r="E10" s="294">
        <v>0.053</v>
      </c>
      <c r="F10" s="169" t="s">
        <v>310</v>
      </c>
    </row>
    <row r="11" spans="1:6" s="146" customFormat="1" ht="15" customHeight="1">
      <c r="A11" s="599">
        <v>81</v>
      </c>
      <c r="B11" s="473" t="s">
        <v>380</v>
      </c>
      <c r="C11" s="567">
        <v>7355</v>
      </c>
      <c r="D11" s="567">
        <v>218671904</v>
      </c>
      <c r="E11" s="600">
        <v>0.0659</v>
      </c>
      <c r="F11" s="569" t="s">
        <v>310</v>
      </c>
    </row>
    <row r="12" spans="1:6" s="146" customFormat="1" ht="15" customHeight="1">
      <c r="A12" s="314">
        <v>32</v>
      </c>
      <c r="B12" s="282" t="s">
        <v>381</v>
      </c>
      <c r="C12" s="285">
        <v>12624</v>
      </c>
      <c r="D12" s="285">
        <v>149053589</v>
      </c>
      <c r="E12" s="294">
        <v>0.0924</v>
      </c>
      <c r="F12" s="169" t="s">
        <v>310</v>
      </c>
    </row>
    <row r="13" spans="1:6" s="146" customFormat="1" ht="15" customHeight="1">
      <c r="A13" s="599">
        <v>32</v>
      </c>
      <c r="B13" s="473" t="s">
        <v>382</v>
      </c>
      <c r="C13" s="567">
        <v>16976</v>
      </c>
      <c r="D13" s="567">
        <v>199302850</v>
      </c>
      <c r="E13" s="600">
        <v>0.061</v>
      </c>
      <c r="F13" s="569" t="s">
        <v>310</v>
      </c>
    </row>
    <row r="14" spans="1:6" s="146" customFormat="1" ht="15" customHeight="1">
      <c r="A14" s="314">
        <v>25</v>
      </c>
      <c r="B14" s="282" t="s">
        <v>383</v>
      </c>
      <c r="C14" s="285">
        <v>25199</v>
      </c>
      <c r="D14" s="285">
        <v>232235178</v>
      </c>
      <c r="E14" s="294">
        <v>0.0846</v>
      </c>
      <c r="F14" s="169" t="s">
        <v>310</v>
      </c>
    </row>
    <row r="15" spans="1:7" s="146" customFormat="1" ht="15" customHeight="1">
      <c r="A15" s="592">
        <v>0</v>
      </c>
      <c r="B15" s="473" t="s">
        <v>1038</v>
      </c>
      <c r="C15" s="601">
        <v>0</v>
      </c>
      <c r="D15" s="601">
        <v>0</v>
      </c>
      <c r="E15" s="602">
        <v>0</v>
      </c>
      <c r="F15" s="569" t="s">
        <v>310</v>
      </c>
      <c r="G15" s="127"/>
    </row>
    <row r="16" spans="1:7" s="146" customFormat="1" ht="15" customHeight="1">
      <c r="A16" s="315">
        <v>0</v>
      </c>
      <c r="B16" s="282" t="s">
        <v>1023</v>
      </c>
      <c r="C16" s="41">
        <v>0</v>
      </c>
      <c r="D16" s="41">
        <v>0</v>
      </c>
      <c r="E16" s="254">
        <v>0</v>
      </c>
      <c r="F16" s="169" t="s">
        <v>310</v>
      </c>
      <c r="G16" s="127"/>
    </row>
    <row r="17" spans="1:7" s="146" customFormat="1" ht="15" customHeight="1">
      <c r="A17" s="592">
        <v>0</v>
      </c>
      <c r="B17" s="473" t="s">
        <v>1024</v>
      </c>
      <c r="C17" s="508">
        <v>0</v>
      </c>
      <c r="D17" s="508">
        <v>0</v>
      </c>
      <c r="E17" s="602">
        <v>0</v>
      </c>
      <c r="F17" s="569" t="s">
        <v>310</v>
      </c>
      <c r="G17" s="127"/>
    </row>
    <row r="18" spans="1:7" s="146" customFormat="1" ht="15" customHeight="1">
      <c r="A18" s="151"/>
      <c r="B18" s="129"/>
      <c r="C18" s="41"/>
      <c r="D18" s="41"/>
      <c r="E18" s="156"/>
      <c r="F18" s="129"/>
      <c r="G18" s="127"/>
    </row>
    <row r="19" spans="1:7" s="165" customFormat="1" ht="15" customHeight="1">
      <c r="A19" s="594" t="s">
        <v>340</v>
      </c>
      <c r="B19" s="566"/>
      <c r="C19" s="595" t="s">
        <v>350</v>
      </c>
      <c r="D19" s="595" t="s">
        <v>341</v>
      </c>
      <c r="E19" s="561" t="s">
        <v>342</v>
      </c>
      <c r="F19" s="596"/>
      <c r="G19" s="164"/>
    </row>
    <row r="20" spans="1:7" s="157" customFormat="1" ht="15" customHeight="1">
      <c r="A20" s="597">
        <v>677</v>
      </c>
      <c r="B20" s="586"/>
      <c r="C20" s="598">
        <v>4134</v>
      </c>
      <c r="D20" s="598">
        <v>1023137075</v>
      </c>
      <c r="E20" s="589">
        <v>0.0705</v>
      </c>
      <c r="F20" s="566"/>
      <c r="G20" s="166"/>
    </row>
    <row r="21" spans="1:7" s="157" customFormat="1" ht="15" customHeight="1">
      <c r="A21" s="263"/>
      <c r="B21" s="263"/>
      <c r="C21" s="228"/>
      <c r="D21" s="228"/>
      <c r="E21" s="264"/>
      <c r="F21" s="265"/>
      <c r="G21" s="166"/>
    </row>
    <row r="22" s="146" customFormat="1" ht="15" customHeight="1">
      <c r="A22" s="31" t="s">
        <v>311</v>
      </c>
    </row>
    <row r="23" spans="1:8" ht="15" customHeight="1">
      <c r="A23" s="336" t="s">
        <v>1154</v>
      </c>
      <c r="B23" s="111"/>
      <c r="C23" s="111"/>
      <c r="D23" s="111"/>
      <c r="E23" s="111"/>
      <c r="F23" s="111"/>
      <c r="G23" s="131"/>
      <c r="H23" s="131"/>
    </row>
    <row r="24" ht="12.75">
      <c r="A24" s="767"/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PageLayoutView="0" workbookViewId="0" topLeftCell="A1">
      <selection activeCell="G19" sqref="G19"/>
    </sheetView>
  </sheetViews>
  <sheetFormatPr defaultColWidth="11.421875" defaultRowHeight="12.75"/>
  <cols>
    <col min="1" max="1" width="15.7109375" style="0" customWidth="1"/>
    <col min="2" max="2" width="20.7109375" style="0" customWidth="1"/>
    <col min="3" max="3" width="15.7109375" style="0" customWidth="1"/>
    <col min="4" max="4" width="17.7109375" style="0" customWidth="1"/>
    <col min="5" max="6" width="15.7109375" style="0" customWidth="1"/>
  </cols>
  <sheetData>
    <row r="1" spans="1:7" s="126" customFormat="1" ht="15" customHeight="1">
      <c r="A1" s="337" t="s">
        <v>1138</v>
      </c>
      <c r="B1" s="136"/>
      <c r="C1" s="136"/>
      <c r="D1" s="136"/>
      <c r="E1" s="136"/>
      <c r="F1" s="136"/>
      <c r="G1" s="139"/>
    </row>
    <row r="2" spans="1:7" s="140" customFormat="1" ht="15" customHeight="1">
      <c r="A2" s="125" t="s">
        <v>316</v>
      </c>
      <c r="B2" s="125"/>
      <c r="C2" s="125"/>
      <c r="D2" s="125"/>
      <c r="E2" s="125"/>
      <c r="F2" s="125"/>
      <c r="G2" s="141"/>
    </row>
    <row r="3" spans="7:9" s="131" customFormat="1" ht="15" customHeight="1">
      <c r="G3" s="142"/>
      <c r="I3" s="143"/>
    </row>
    <row r="4" spans="1:6" s="140" customFormat="1" ht="12.75">
      <c r="A4" s="457"/>
      <c r="B4" s="457" t="s">
        <v>348</v>
      </c>
      <c r="C4" s="457" t="s">
        <v>350</v>
      </c>
      <c r="D4" s="457" t="s">
        <v>391</v>
      </c>
      <c r="E4" s="457" t="s">
        <v>969</v>
      </c>
      <c r="F4" s="556" t="s">
        <v>1081</v>
      </c>
    </row>
    <row r="5" spans="1:6" s="140" customFormat="1" ht="12.75">
      <c r="A5" s="557" t="s">
        <v>950</v>
      </c>
      <c r="B5" s="557" t="s">
        <v>349</v>
      </c>
      <c r="C5" s="557" t="s">
        <v>351</v>
      </c>
      <c r="D5" s="557" t="s">
        <v>968</v>
      </c>
      <c r="E5" s="557" t="s">
        <v>286</v>
      </c>
      <c r="F5" s="558" t="s">
        <v>309</v>
      </c>
    </row>
    <row r="6" spans="1:6" s="140" customFormat="1" ht="12.75">
      <c r="A6" s="460"/>
      <c r="B6" s="460" t="s">
        <v>951</v>
      </c>
      <c r="C6" s="460"/>
      <c r="D6" s="460" t="s">
        <v>308</v>
      </c>
      <c r="E6" s="460" t="s">
        <v>952</v>
      </c>
      <c r="F6" s="559"/>
    </row>
    <row r="7" spans="1:6" s="126" customFormat="1" ht="12.75">
      <c r="A7" s="145"/>
      <c r="B7" s="145"/>
      <c r="C7" s="145"/>
      <c r="D7" s="145"/>
      <c r="E7" s="145"/>
      <c r="F7" s="127"/>
    </row>
    <row r="8" spans="1:10" s="126" customFormat="1" ht="15" customHeight="1">
      <c r="A8" s="316">
        <v>114</v>
      </c>
      <c r="B8" s="282" t="s">
        <v>1041</v>
      </c>
      <c r="C8" s="289">
        <v>593</v>
      </c>
      <c r="D8" s="289">
        <v>24604400</v>
      </c>
      <c r="E8" s="293">
        <v>0.0435</v>
      </c>
      <c r="F8" s="221" t="s">
        <v>310</v>
      </c>
      <c r="H8" s="289"/>
      <c r="J8" s="148"/>
    </row>
    <row r="9" spans="1:8" s="126" customFormat="1" ht="15" customHeight="1">
      <c r="A9" s="606">
        <v>119</v>
      </c>
      <c r="B9" s="473" t="s">
        <v>378</v>
      </c>
      <c r="C9" s="528">
        <v>1493</v>
      </c>
      <c r="D9" s="528">
        <v>64829680</v>
      </c>
      <c r="E9" s="587">
        <v>0.072</v>
      </c>
      <c r="F9" s="540" t="s">
        <v>310</v>
      </c>
      <c r="H9" s="289"/>
    </row>
    <row r="10" spans="1:8" s="126" customFormat="1" ht="15" customHeight="1">
      <c r="A10" s="316">
        <v>133</v>
      </c>
      <c r="B10" s="282" t="s">
        <v>379</v>
      </c>
      <c r="C10" s="289">
        <v>3299</v>
      </c>
      <c r="D10" s="289">
        <v>160450619</v>
      </c>
      <c r="E10" s="293">
        <v>0.0656</v>
      </c>
      <c r="F10" s="221" t="s">
        <v>310</v>
      </c>
      <c r="H10" s="289"/>
    </row>
    <row r="11" spans="1:8" s="126" customFormat="1" ht="15" customHeight="1">
      <c r="A11" s="606">
        <v>72</v>
      </c>
      <c r="B11" s="473" t="s">
        <v>380</v>
      </c>
      <c r="C11" s="528">
        <v>6584</v>
      </c>
      <c r="D11" s="528">
        <v>172865448</v>
      </c>
      <c r="E11" s="587">
        <v>0.0839</v>
      </c>
      <c r="F11" s="540" t="s">
        <v>310</v>
      </c>
      <c r="H11" s="289"/>
    </row>
    <row r="12" spans="1:8" s="126" customFormat="1" ht="15" customHeight="1">
      <c r="A12" s="316">
        <v>10</v>
      </c>
      <c r="B12" s="282" t="s">
        <v>381</v>
      </c>
      <c r="C12" s="289">
        <v>13148</v>
      </c>
      <c r="D12" s="289">
        <v>50319334</v>
      </c>
      <c r="E12" s="293">
        <v>0.0724</v>
      </c>
      <c r="F12" s="221" t="s">
        <v>310</v>
      </c>
      <c r="H12" s="289"/>
    </row>
    <row r="13" spans="1:8" s="126" customFormat="1" ht="15" customHeight="1">
      <c r="A13" s="606">
        <v>5</v>
      </c>
      <c r="B13" s="473" t="s">
        <v>382</v>
      </c>
      <c r="C13" s="528">
        <v>16879</v>
      </c>
      <c r="D13" s="528">
        <v>32898859</v>
      </c>
      <c r="E13" s="587">
        <v>0.059</v>
      </c>
      <c r="F13" s="539" t="s">
        <v>310</v>
      </c>
      <c r="H13" s="289"/>
    </row>
    <row r="14" spans="1:6" s="126" customFormat="1" ht="15" customHeight="1">
      <c r="A14" s="313">
        <v>0</v>
      </c>
      <c r="B14" s="282" t="s">
        <v>383</v>
      </c>
      <c r="C14" s="33">
        <v>0</v>
      </c>
      <c r="D14" s="33">
        <v>0</v>
      </c>
      <c r="E14" s="224">
        <v>0</v>
      </c>
      <c r="F14" s="216" t="s">
        <v>310</v>
      </c>
    </row>
    <row r="15" spans="1:6" s="126" customFormat="1" ht="15" customHeight="1">
      <c r="A15" s="593">
        <v>0</v>
      </c>
      <c r="B15" s="473" t="s">
        <v>1038</v>
      </c>
      <c r="C15" s="509">
        <v>0</v>
      </c>
      <c r="D15" s="528">
        <v>0</v>
      </c>
      <c r="E15" s="591">
        <v>0</v>
      </c>
      <c r="F15" s="539" t="s">
        <v>310</v>
      </c>
    </row>
    <row r="16" spans="1:6" s="126" customFormat="1" ht="15" customHeight="1">
      <c r="A16" s="313">
        <v>0</v>
      </c>
      <c r="B16" s="282" t="s">
        <v>1023</v>
      </c>
      <c r="C16" s="33">
        <v>0</v>
      </c>
      <c r="D16" s="33">
        <v>0</v>
      </c>
      <c r="E16" s="224">
        <v>0</v>
      </c>
      <c r="F16" s="216" t="s">
        <v>310</v>
      </c>
    </row>
    <row r="17" spans="1:6" s="126" customFormat="1" ht="15" customHeight="1">
      <c r="A17" s="593">
        <v>0</v>
      </c>
      <c r="B17" s="473" t="s">
        <v>1024</v>
      </c>
      <c r="C17" s="509">
        <v>0</v>
      </c>
      <c r="D17" s="509">
        <v>0</v>
      </c>
      <c r="E17" s="591">
        <v>0</v>
      </c>
      <c r="F17" s="539" t="s">
        <v>310</v>
      </c>
    </row>
    <row r="18" spans="1:6" s="126" customFormat="1" ht="15" customHeight="1">
      <c r="A18" s="223"/>
      <c r="B18" s="216"/>
      <c r="C18" s="33"/>
      <c r="D18" s="33"/>
      <c r="E18" s="222"/>
      <c r="F18" s="216"/>
    </row>
    <row r="19" spans="1:6" s="167" customFormat="1" ht="15" customHeight="1">
      <c r="A19" s="570" t="s">
        <v>340</v>
      </c>
      <c r="B19" s="571"/>
      <c r="C19" s="572" t="s">
        <v>350</v>
      </c>
      <c r="D19" s="572" t="s">
        <v>341</v>
      </c>
      <c r="E19" s="571" t="s">
        <v>342</v>
      </c>
      <c r="F19" s="573"/>
    </row>
    <row r="20" spans="1:6" s="168" customFormat="1" ht="15" customHeight="1">
      <c r="A20" s="603">
        <v>453</v>
      </c>
      <c r="B20" s="582"/>
      <c r="C20" s="581">
        <v>3057</v>
      </c>
      <c r="D20" s="604">
        <v>505968340</v>
      </c>
      <c r="E20" s="605">
        <v>0.0721</v>
      </c>
      <c r="F20" s="576"/>
    </row>
    <row r="21" spans="1:6" s="168" customFormat="1" ht="15" customHeight="1">
      <c r="A21" s="261"/>
      <c r="B21" s="261"/>
      <c r="C21" s="29"/>
      <c r="D21" s="29"/>
      <c r="E21" s="262"/>
      <c r="F21" s="257"/>
    </row>
    <row r="22" spans="1:6" ht="15" customHeight="1">
      <c r="A22" s="31" t="s">
        <v>311</v>
      </c>
      <c r="B22" s="37"/>
      <c r="C22" s="37"/>
      <c r="D22" s="37"/>
      <c r="E22" s="37"/>
      <c r="F22" s="37"/>
    </row>
    <row r="23" ht="15" customHeight="1">
      <c r="A23" s="336" t="s">
        <v>1154</v>
      </c>
    </row>
    <row r="24" ht="12.75">
      <c r="A24" s="767"/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PageLayoutView="0" workbookViewId="0" topLeftCell="A1">
      <selection activeCell="G19" sqref="G19"/>
    </sheetView>
  </sheetViews>
  <sheetFormatPr defaultColWidth="11.421875" defaultRowHeight="12.75"/>
  <cols>
    <col min="1" max="1" width="15.7109375" style="0" customWidth="1"/>
    <col min="2" max="2" width="21.7109375" style="0" customWidth="1"/>
    <col min="3" max="3" width="15.7109375" style="0" customWidth="1"/>
    <col min="4" max="4" width="17.7109375" style="0" customWidth="1"/>
    <col min="5" max="6" width="15.7109375" style="0" customWidth="1"/>
  </cols>
  <sheetData>
    <row r="1" spans="1:7" s="126" customFormat="1" ht="15" customHeight="1">
      <c r="A1" s="337" t="s">
        <v>1133</v>
      </c>
      <c r="B1" s="136"/>
      <c r="C1" s="136"/>
      <c r="D1" s="136"/>
      <c r="E1" s="136"/>
      <c r="F1" s="136"/>
      <c r="G1" s="139"/>
    </row>
    <row r="2" spans="1:7" s="140" customFormat="1" ht="15" customHeight="1">
      <c r="A2" s="125" t="s">
        <v>957</v>
      </c>
      <c r="B2" s="125"/>
      <c r="C2" s="125"/>
      <c r="D2" s="125"/>
      <c r="E2" s="125"/>
      <c r="F2" s="125"/>
      <c r="G2" s="141"/>
    </row>
    <row r="3" spans="7:9" s="131" customFormat="1" ht="15" customHeight="1">
      <c r="G3" s="142"/>
      <c r="I3" s="143"/>
    </row>
    <row r="4" spans="1:6" s="140" customFormat="1" ht="12.75">
      <c r="A4" s="457"/>
      <c r="B4" s="457" t="s">
        <v>348</v>
      </c>
      <c r="C4" s="457" t="s">
        <v>350</v>
      </c>
      <c r="D4" s="457" t="s">
        <v>391</v>
      </c>
      <c r="E4" s="457" t="s">
        <v>969</v>
      </c>
      <c r="F4" s="556" t="s">
        <v>1081</v>
      </c>
    </row>
    <row r="5" spans="1:6" s="140" customFormat="1" ht="12.75">
      <c r="A5" s="557" t="s">
        <v>950</v>
      </c>
      <c r="B5" s="557" t="s">
        <v>349</v>
      </c>
      <c r="C5" s="557" t="s">
        <v>351</v>
      </c>
      <c r="D5" s="557" t="s">
        <v>968</v>
      </c>
      <c r="E5" s="557" t="s">
        <v>286</v>
      </c>
      <c r="F5" s="558" t="s">
        <v>309</v>
      </c>
    </row>
    <row r="6" spans="1:6" s="140" customFormat="1" ht="12.75">
      <c r="A6" s="460"/>
      <c r="B6" s="460" t="s">
        <v>951</v>
      </c>
      <c r="C6" s="460"/>
      <c r="D6" s="460" t="s">
        <v>308</v>
      </c>
      <c r="E6" s="460" t="s">
        <v>952</v>
      </c>
      <c r="F6" s="559"/>
    </row>
    <row r="7" spans="1:6" s="126" customFormat="1" ht="12.75">
      <c r="A7" s="145"/>
      <c r="B7" s="145"/>
      <c r="C7" s="145"/>
      <c r="D7" s="145"/>
      <c r="E7" s="145"/>
      <c r="F7" s="127"/>
    </row>
    <row r="8" spans="1:10" s="126" customFormat="1" ht="15" customHeight="1">
      <c r="A8" s="289">
        <v>0</v>
      </c>
      <c r="B8" s="282" t="s">
        <v>1041</v>
      </c>
      <c r="C8" s="289">
        <v>0</v>
      </c>
      <c r="D8" s="289">
        <v>0</v>
      </c>
      <c r="E8" s="292">
        <v>0</v>
      </c>
      <c r="F8" s="216" t="s">
        <v>310</v>
      </c>
      <c r="J8" s="148"/>
    </row>
    <row r="9" spans="1:6" s="126" customFormat="1" ht="15" customHeight="1">
      <c r="A9" s="528">
        <v>0</v>
      </c>
      <c r="B9" s="473" t="s">
        <v>378</v>
      </c>
      <c r="C9" s="528">
        <v>0</v>
      </c>
      <c r="D9" s="528">
        <v>0</v>
      </c>
      <c r="E9" s="577">
        <v>0</v>
      </c>
      <c r="F9" s="539" t="s">
        <v>310</v>
      </c>
    </row>
    <row r="10" spans="1:6" s="126" customFormat="1" ht="15" customHeight="1">
      <c r="A10" s="289">
        <v>1</v>
      </c>
      <c r="B10" s="282" t="s">
        <v>379</v>
      </c>
      <c r="C10" s="289">
        <v>2701</v>
      </c>
      <c r="D10" s="289">
        <v>1143603</v>
      </c>
      <c r="E10" s="292">
        <v>0.0428</v>
      </c>
      <c r="F10" s="221" t="s">
        <v>310</v>
      </c>
    </row>
    <row r="11" spans="1:6" s="126" customFormat="1" ht="15" customHeight="1">
      <c r="A11" s="528">
        <v>96</v>
      </c>
      <c r="B11" s="473" t="s">
        <v>380</v>
      </c>
      <c r="C11" s="528">
        <v>7844</v>
      </c>
      <c r="D11" s="528">
        <v>275930540</v>
      </c>
      <c r="E11" s="577">
        <v>0.1758</v>
      </c>
      <c r="F11" s="540" t="s">
        <v>310</v>
      </c>
    </row>
    <row r="12" spans="1:6" s="126" customFormat="1" ht="15" customHeight="1">
      <c r="A12" s="289">
        <v>97</v>
      </c>
      <c r="B12" s="282" t="s">
        <v>381</v>
      </c>
      <c r="C12" s="289">
        <v>12512</v>
      </c>
      <c r="D12" s="289">
        <v>442828868</v>
      </c>
      <c r="E12" s="292">
        <v>0.1601</v>
      </c>
      <c r="F12" s="221" t="s">
        <v>310</v>
      </c>
    </row>
    <row r="13" spans="1:6" s="126" customFormat="1" ht="15" customHeight="1">
      <c r="A13" s="528">
        <v>116</v>
      </c>
      <c r="B13" s="473" t="s">
        <v>382</v>
      </c>
      <c r="C13" s="528">
        <v>17099</v>
      </c>
      <c r="D13" s="528">
        <v>722214945</v>
      </c>
      <c r="E13" s="577">
        <v>0.0843</v>
      </c>
      <c r="F13" s="540" t="s">
        <v>310</v>
      </c>
    </row>
    <row r="14" spans="1:6" s="126" customFormat="1" ht="15" customHeight="1">
      <c r="A14" s="289">
        <v>145</v>
      </c>
      <c r="B14" s="282" t="s">
        <v>383</v>
      </c>
      <c r="C14" s="289">
        <v>31816</v>
      </c>
      <c r="D14" s="289">
        <v>1687397716</v>
      </c>
      <c r="E14" s="292">
        <v>0.0683</v>
      </c>
      <c r="F14" s="221" t="s">
        <v>310</v>
      </c>
    </row>
    <row r="15" spans="1:6" s="126" customFormat="1" ht="15" customHeight="1">
      <c r="A15" s="528">
        <v>10</v>
      </c>
      <c r="B15" s="473" t="s">
        <v>1038</v>
      </c>
      <c r="C15" s="528">
        <v>68969</v>
      </c>
      <c r="D15" s="528">
        <v>259065025</v>
      </c>
      <c r="E15" s="577">
        <v>0.0267</v>
      </c>
      <c r="F15" s="540" t="s">
        <v>310</v>
      </c>
    </row>
    <row r="16" spans="1:6" s="126" customFormat="1" ht="15" customHeight="1">
      <c r="A16" s="289">
        <v>12</v>
      </c>
      <c r="B16" s="282" t="s">
        <v>1023</v>
      </c>
      <c r="C16" s="289">
        <v>83844</v>
      </c>
      <c r="D16" s="289">
        <v>358363136</v>
      </c>
      <c r="E16" s="292">
        <v>0.0262</v>
      </c>
      <c r="F16" s="221" t="s">
        <v>310</v>
      </c>
    </row>
    <row r="17" spans="1:6" s="126" customFormat="1" ht="15" customHeight="1">
      <c r="A17" s="528">
        <v>0</v>
      </c>
      <c r="B17" s="473" t="s">
        <v>1024</v>
      </c>
      <c r="C17" s="528">
        <v>0</v>
      </c>
      <c r="D17" s="509">
        <v>0</v>
      </c>
      <c r="E17" s="578">
        <v>0</v>
      </c>
      <c r="F17" s="539" t="s">
        <v>310</v>
      </c>
    </row>
    <row r="18" spans="1:6" s="126" customFormat="1" ht="15" customHeight="1">
      <c r="A18" s="223"/>
      <c r="B18" s="216"/>
      <c r="C18" s="33"/>
      <c r="D18" s="33"/>
      <c r="E18" s="222"/>
      <c r="F18" s="216"/>
    </row>
    <row r="19" spans="1:6" s="167" customFormat="1" ht="15" customHeight="1">
      <c r="A19" s="570" t="s">
        <v>340</v>
      </c>
      <c r="B19" s="571"/>
      <c r="C19" s="572" t="s">
        <v>350</v>
      </c>
      <c r="D19" s="572" t="s">
        <v>341</v>
      </c>
      <c r="E19" s="571" t="s">
        <v>342</v>
      </c>
      <c r="F19" s="573"/>
    </row>
    <row r="20" spans="1:9" s="168" customFormat="1" ht="15" customHeight="1">
      <c r="A20" s="574">
        <v>477</v>
      </c>
      <c r="B20" s="574"/>
      <c r="C20" s="574">
        <v>21498</v>
      </c>
      <c r="D20" s="574">
        <v>3746943834</v>
      </c>
      <c r="E20" s="575">
        <v>0.0735</v>
      </c>
      <c r="F20" s="576"/>
      <c r="I20" s="295"/>
    </row>
    <row r="21" spans="1:6" s="168" customFormat="1" ht="15" customHeight="1">
      <c r="A21" s="259"/>
      <c r="B21" s="259"/>
      <c r="C21" s="259"/>
      <c r="D21" s="259"/>
      <c r="E21" s="260"/>
      <c r="F21" s="257"/>
    </row>
    <row r="22" spans="1:6" ht="15" customHeight="1">
      <c r="A22" s="794" t="s">
        <v>1107</v>
      </c>
      <c r="B22" s="794"/>
      <c r="C22" s="794"/>
      <c r="D22" s="794"/>
      <c r="E22" s="130" t="s">
        <v>319</v>
      </c>
      <c r="F22" s="121"/>
    </row>
    <row r="23" spans="1:6" ht="15" customHeight="1">
      <c r="A23" s="336" t="s">
        <v>1154</v>
      </c>
      <c r="B23" s="37"/>
      <c r="C23" s="37"/>
      <c r="D23" s="37"/>
      <c r="E23" s="37"/>
      <c r="F23" s="37"/>
    </row>
    <row r="24" ht="12.75">
      <c r="A24" s="767"/>
    </row>
  </sheetData>
  <sheetProtection/>
  <mergeCells count="1">
    <mergeCell ref="A22:D22"/>
  </mergeCells>
  <printOptions/>
  <pageMargins left="0.1968503937007874" right="0.1968503937007874" top="0.5511811023622047" bottom="0" header="0" footer="0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PageLayoutView="0" workbookViewId="0" topLeftCell="A1">
      <pane ySplit="6" topLeftCell="A7" activePane="bottomLeft" state="frozen"/>
      <selection pane="topLeft" activeCell="G19" sqref="G19"/>
      <selection pane="bottomLeft" activeCell="G19" sqref="G19"/>
    </sheetView>
  </sheetViews>
  <sheetFormatPr defaultColWidth="11.57421875" defaultRowHeight="12.75"/>
  <cols>
    <col min="1" max="1" width="5.00390625" style="658" customWidth="1"/>
    <col min="2" max="2" width="10.57421875" style="648" customWidth="1"/>
    <col min="3" max="3" width="8.7109375" style="648" customWidth="1"/>
    <col min="4" max="5" width="9.28125" style="648" customWidth="1"/>
    <col min="6" max="6" width="10.421875" style="648" customWidth="1"/>
    <col min="7" max="7" width="9.7109375" style="648" customWidth="1"/>
    <col min="8" max="8" width="8.7109375" style="648" customWidth="1"/>
    <col min="9" max="9" width="10.00390625" style="648" customWidth="1"/>
    <col min="10" max="10" width="9.7109375" style="648" customWidth="1"/>
    <col min="11" max="11" width="11.00390625" style="648" customWidth="1"/>
    <col min="12" max="12" width="10.00390625" style="648" customWidth="1"/>
    <col min="13" max="16384" width="11.57421875" style="648" customWidth="1"/>
  </cols>
  <sheetData>
    <row r="1" spans="1:11" ht="15">
      <c r="A1" s="645" t="s">
        <v>1157</v>
      </c>
      <c r="B1" s="646"/>
      <c r="C1" s="646"/>
      <c r="D1" s="646"/>
      <c r="E1" s="647"/>
      <c r="F1" s="646"/>
      <c r="G1" s="646"/>
      <c r="H1" s="646"/>
      <c r="I1" s="646"/>
      <c r="J1" s="646"/>
      <c r="K1" s="646"/>
    </row>
    <row r="2" spans="1:11" ht="12.75">
      <c r="A2" s="649"/>
      <c r="B2" s="650"/>
      <c r="C2" s="650"/>
      <c r="D2" s="650"/>
      <c r="E2" s="651"/>
      <c r="F2" s="650"/>
      <c r="G2" s="650"/>
      <c r="H2" s="650"/>
      <c r="I2" s="650"/>
      <c r="J2" s="650"/>
      <c r="K2" s="652" t="s">
        <v>319</v>
      </c>
    </row>
    <row r="3" spans="1:12" ht="12.75">
      <c r="A3" s="653"/>
      <c r="B3" s="650"/>
      <c r="C3" s="650"/>
      <c r="D3" s="650"/>
      <c r="E3" s="651"/>
      <c r="F3" s="650"/>
      <c r="G3" s="650"/>
      <c r="H3" s="650"/>
      <c r="I3" s="650"/>
      <c r="J3" s="650"/>
      <c r="L3" s="654" t="s">
        <v>371</v>
      </c>
    </row>
    <row r="4" spans="1:12" s="658" customFormat="1" ht="13.5" customHeight="1">
      <c r="A4" s="655"/>
      <c r="B4" s="656" t="s">
        <v>320</v>
      </c>
      <c r="C4" s="656" t="s">
        <v>321</v>
      </c>
      <c r="D4" s="656" t="s">
        <v>320</v>
      </c>
      <c r="E4" s="657" t="s">
        <v>322</v>
      </c>
      <c r="F4" s="656" t="s">
        <v>1109</v>
      </c>
      <c r="G4" s="656" t="s">
        <v>323</v>
      </c>
      <c r="H4" s="656" t="s">
        <v>287</v>
      </c>
      <c r="I4" s="656" t="s">
        <v>289</v>
      </c>
      <c r="J4" s="656" t="s">
        <v>288</v>
      </c>
      <c r="K4" s="656" t="s">
        <v>324</v>
      </c>
      <c r="L4" s="656" t="s">
        <v>291</v>
      </c>
    </row>
    <row r="5" spans="1:12" s="658" customFormat="1" ht="12" customHeight="1">
      <c r="A5" s="659"/>
      <c r="B5" s="660" t="s">
        <v>1119</v>
      </c>
      <c r="C5" s="661" t="s">
        <v>516</v>
      </c>
      <c r="D5" s="661" t="s">
        <v>976</v>
      </c>
      <c r="E5" s="662" t="s">
        <v>1083</v>
      </c>
      <c r="F5" s="661" t="s">
        <v>325</v>
      </c>
      <c r="G5" s="661" t="s">
        <v>326</v>
      </c>
      <c r="H5" s="661" t="s">
        <v>327</v>
      </c>
      <c r="I5" s="663" t="s">
        <v>290</v>
      </c>
      <c r="J5" s="661" t="s">
        <v>328</v>
      </c>
      <c r="K5" s="661" t="s">
        <v>398</v>
      </c>
      <c r="L5" s="664" t="s">
        <v>329</v>
      </c>
    </row>
    <row r="6" spans="1:12" s="658" customFormat="1" ht="12.75" customHeight="1">
      <c r="A6" s="665"/>
      <c r="B6" s="666" t="s">
        <v>1120</v>
      </c>
      <c r="C6" s="666" t="s">
        <v>1084</v>
      </c>
      <c r="D6" s="666"/>
      <c r="E6" s="667"/>
      <c r="F6" s="666"/>
      <c r="G6" s="666"/>
      <c r="H6" s="666"/>
      <c r="I6" s="666" t="s">
        <v>1082</v>
      </c>
      <c r="J6" s="666"/>
      <c r="K6" s="666"/>
      <c r="L6" s="668"/>
    </row>
    <row r="7" spans="1:11" ht="12.75">
      <c r="A7" s="649"/>
      <c r="B7" s="669"/>
      <c r="C7" s="669"/>
      <c r="D7" s="669"/>
      <c r="E7" s="669"/>
      <c r="F7" s="669"/>
      <c r="G7" s="669"/>
      <c r="H7" s="669"/>
      <c r="I7" s="669"/>
      <c r="J7" s="669"/>
      <c r="K7" s="669"/>
    </row>
    <row r="8" spans="1:12" ht="12.75">
      <c r="A8" s="670" t="s">
        <v>330</v>
      </c>
      <c r="B8" s="671" t="s">
        <v>331</v>
      </c>
      <c r="C8" s="671">
        <v>10393</v>
      </c>
      <c r="D8" s="671" t="s">
        <v>331</v>
      </c>
      <c r="E8" s="671" t="s">
        <v>331</v>
      </c>
      <c r="F8" s="671" t="s">
        <v>331</v>
      </c>
      <c r="G8" s="671" t="s">
        <v>331</v>
      </c>
      <c r="H8" s="671" t="s">
        <v>331</v>
      </c>
      <c r="I8" s="671" t="s">
        <v>331</v>
      </c>
      <c r="J8" s="671" t="s">
        <v>331</v>
      </c>
      <c r="K8" s="671" t="s">
        <v>331</v>
      </c>
      <c r="L8" s="671" t="s">
        <v>331</v>
      </c>
    </row>
    <row r="9" spans="1:12" ht="12.75">
      <c r="A9" s="672" t="s">
        <v>1051</v>
      </c>
      <c r="B9" s="673" t="s">
        <v>331</v>
      </c>
      <c r="C9" s="673">
        <v>9280</v>
      </c>
      <c r="D9" s="673" t="s">
        <v>331</v>
      </c>
      <c r="E9" s="673" t="s">
        <v>331</v>
      </c>
      <c r="F9" s="673" t="s">
        <v>331</v>
      </c>
      <c r="G9" s="673" t="s">
        <v>331</v>
      </c>
      <c r="H9" s="673" t="s">
        <v>331</v>
      </c>
      <c r="I9" s="673" t="s">
        <v>331</v>
      </c>
      <c r="J9" s="673" t="s">
        <v>331</v>
      </c>
      <c r="K9" s="673" t="s">
        <v>331</v>
      </c>
      <c r="L9" s="673" t="s">
        <v>331</v>
      </c>
    </row>
    <row r="10" spans="1:12" ht="12.75">
      <c r="A10" s="670" t="s">
        <v>1052</v>
      </c>
      <c r="B10" s="671" t="s">
        <v>331</v>
      </c>
      <c r="C10" s="671">
        <v>11504</v>
      </c>
      <c r="D10" s="671" t="s">
        <v>331</v>
      </c>
      <c r="E10" s="671" t="s">
        <v>331</v>
      </c>
      <c r="F10" s="671" t="s">
        <v>331</v>
      </c>
      <c r="G10" s="671" t="s">
        <v>331</v>
      </c>
      <c r="H10" s="671" t="s">
        <v>331</v>
      </c>
      <c r="I10" s="671" t="s">
        <v>331</v>
      </c>
      <c r="J10" s="671" t="s">
        <v>331</v>
      </c>
      <c r="K10" s="671" t="s">
        <v>331</v>
      </c>
      <c r="L10" s="671" t="s">
        <v>331</v>
      </c>
    </row>
    <row r="11" spans="1:12" ht="12.75">
      <c r="A11" s="672" t="s">
        <v>1053</v>
      </c>
      <c r="B11" s="673">
        <v>11615</v>
      </c>
      <c r="C11" s="673">
        <v>13114</v>
      </c>
      <c r="D11" s="673" t="s">
        <v>331</v>
      </c>
      <c r="E11" s="673" t="s">
        <v>331</v>
      </c>
      <c r="F11" s="673" t="s">
        <v>331</v>
      </c>
      <c r="G11" s="673" t="s">
        <v>331</v>
      </c>
      <c r="H11" s="673" t="s">
        <v>331</v>
      </c>
      <c r="I11" s="673" t="s">
        <v>331</v>
      </c>
      <c r="J11" s="673" t="s">
        <v>331</v>
      </c>
      <c r="K11" s="673" t="s">
        <v>331</v>
      </c>
      <c r="L11" s="673" t="s">
        <v>331</v>
      </c>
    </row>
    <row r="12" spans="1:12" ht="12.75">
      <c r="A12" s="670" t="s">
        <v>1054</v>
      </c>
      <c r="B12" s="671">
        <v>12025</v>
      </c>
      <c r="C12" s="671">
        <v>1394</v>
      </c>
      <c r="D12" s="671" t="s">
        <v>331</v>
      </c>
      <c r="E12" s="671" t="s">
        <v>331</v>
      </c>
      <c r="F12" s="671" t="s">
        <v>331</v>
      </c>
      <c r="G12" s="671" t="s">
        <v>331</v>
      </c>
      <c r="H12" s="671" t="s">
        <v>331</v>
      </c>
      <c r="I12" s="671" t="s">
        <v>331</v>
      </c>
      <c r="J12" s="671" t="s">
        <v>331</v>
      </c>
      <c r="K12" s="671" t="s">
        <v>331</v>
      </c>
      <c r="L12" s="671" t="s">
        <v>331</v>
      </c>
    </row>
    <row r="13" spans="1:12" ht="12.75">
      <c r="A13" s="649"/>
      <c r="B13" s="674"/>
      <c r="C13" s="674"/>
      <c r="D13" s="674"/>
      <c r="E13" s="674"/>
      <c r="F13" s="674"/>
      <c r="G13" s="674"/>
      <c r="H13" s="674"/>
      <c r="I13" s="674"/>
      <c r="J13" s="674"/>
      <c r="K13" s="674"/>
      <c r="L13" s="671"/>
    </row>
    <row r="14" spans="1:12" ht="12.75">
      <c r="A14" s="672" t="s">
        <v>1055</v>
      </c>
      <c r="B14" s="673">
        <v>12478</v>
      </c>
      <c r="C14" s="673">
        <v>14529</v>
      </c>
      <c r="D14" s="673">
        <v>14617</v>
      </c>
      <c r="E14" s="673" t="s">
        <v>331</v>
      </c>
      <c r="F14" s="673" t="s">
        <v>331</v>
      </c>
      <c r="G14" s="673" t="s">
        <v>331</v>
      </c>
      <c r="H14" s="673" t="s">
        <v>331</v>
      </c>
      <c r="I14" s="673" t="s">
        <v>331</v>
      </c>
      <c r="J14" s="673" t="s">
        <v>331</v>
      </c>
      <c r="K14" s="673" t="s">
        <v>331</v>
      </c>
      <c r="L14" s="673" t="s">
        <v>331</v>
      </c>
    </row>
    <row r="15" spans="1:12" ht="12.75">
      <c r="A15" s="670" t="s">
        <v>1056</v>
      </c>
      <c r="B15" s="671">
        <v>12903</v>
      </c>
      <c r="C15" s="671">
        <v>14924</v>
      </c>
      <c r="D15" s="671">
        <v>16482</v>
      </c>
      <c r="E15" s="671" t="s">
        <v>331</v>
      </c>
      <c r="F15" s="671" t="s">
        <v>331</v>
      </c>
      <c r="G15" s="671" t="s">
        <v>331</v>
      </c>
      <c r="H15" s="671" t="s">
        <v>331</v>
      </c>
      <c r="I15" s="671" t="s">
        <v>331</v>
      </c>
      <c r="J15" s="671" t="s">
        <v>331</v>
      </c>
      <c r="K15" s="671" t="s">
        <v>331</v>
      </c>
      <c r="L15" s="671" t="s">
        <v>331</v>
      </c>
    </row>
    <row r="16" spans="1:12" ht="12.75">
      <c r="A16" s="672" t="s">
        <v>1057</v>
      </c>
      <c r="B16" s="673">
        <v>13825</v>
      </c>
      <c r="C16" s="673">
        <v>14377</v>
      </c>
      <c r="D16" s="673">
        <v>19544</v>
      </c>
      <c r="E16" s="673" t="s">
        <v>331</v>
      </c>
      <c r="F16" s="673" t="s">
        <v>331</v>
      </c>
      <c r="G16" s="673" t="s">
        <v>331</v>
      </c>
      <c r="H16" s="673" t="s">
        <v>331</v>
      </c>
      <c r="I16" s="673" t="s">
        <v>331</v>
      </c>
      <c r="J16" s="673" t="s">
        <v>331</v>
      </c>
      <c r="K16" s="673" t="s">
        <v>331</v>
      </c>
      <c r="L16" s="673" t="s">
        <v>331</v>
      </c>
    </row>
    <row r="17" spans="1:12" ht="12.75">
      <c r="A17" s="670" t="s">
        <v>1058</v>
      </c>
      <c r="B17" s="671">
        <v>15794</v>
      </c>
      <c r="C17" s="671">
        <v>15937</v>
      </c>
      <c r="D17" s="671">
        <v>22657</v>
      </c>
      <c r="E17" s="671" t="s">
        <v>331</v>
      </c>
      <c r="F17" s="671">
        <v>6450</v>
      </c>
      <c r="G17" s="671">
        <v>7594</v>
      </c>
      <c r="H17" s="671" t="s">
        <v>331</v>
      </c>
      <c r="I17" s="671" t="s">
        <v>331</v>
      </c>
      <c r="J17" s="671" t="s">
        <v>331</v>
      </c>
      <c r="K17" s="671" t="s">
        <v>331</v>
      </c>
      <c r="L17" s="671" t="s">
        <v>331</v>
      </c>
    </row>
    <row r="18" spans="1:12" ht="12.75">
      <c r="A18" s="672" t="s">
        <v>1059</v>
      </c>
      <c r="B18" s="673">
        <v>15859</v>
      </c>
      <c r="C18" s="673">
        <v>16474</v>
      </c>
      <c r="D18" s="673">
        <v>23659</v>
      </c>
      <c r="E18" s="673">
        <v>19180</v>
      </c>
      <c r="F18" s="673">
        <v>7001</v>
      </c>
      <c r="G18" s="673">
        <v>7828</v>
      </c>
      <c r="H18" s="673" t="s">
        <v>331</v>
      </c>
      <c r="I18" s="673" t="s">
        <v>331</v>
      </c>
      <c r="J18" s="673" t="s">
        <v>331</v>
      </c>
      <c r="K18" s="673" t="s">
        <v>331</v>
      </c>
      <c r="L18" s="673" t="s">
        <v>331</v>
      </c>
    </row>
    <row r="19" spans="1:12" ht="12.75">
      <c r="A19" s="649"/>
      <c r="B19" s="674"/>
      <c r="C19" s="674"/>
      <c r="D19" s="674"/>
      <c r="E19" s="674"/>
      <c r="F19" s="674"/>
      <c r="G19" s="674"/>
      <c r="H19" s="674"/>
      <c r="I19" s="674"/>
      <c r="J19" s="674"/>
      <c r="K19" s="674"/>
      <c r="L19" s="671"/>
    </row>
    <row r="20" spans="1:12" ht="12.75">
      <c r="A20" s="670" t="s">
        <v>1060</v>
      </c>
      <c r="B20" s="671">
        <v>15626</v>
      </c>
      <c r="C20" s="671">
        <v>15334</v>
      </c>
      <c r="D20" s="671">
        <v>24565</v>
      </c>
      <c r="E20" s="671">
        <v>19954</v>
      </c>
      <c r="F20" s="671">
        <v>7053</v>
      </c>
      <c r="G20" s="671">
        <v>7773</v>
      </c>
      <c r="H20" s="671" t="s">
        <v>331</v>
      </c>
      <c r="I20" s="671" t="s">
        <v>331</v>
      </c>
      <c r="J20" s="671" t="s">
        <v>331</v>
      </c>
      <c r="K20" s="671" t="s">
        <v>331</v>
      </c>
      <c r="L20" s="671" t="s">
        <v>331</v>
      </c>
    </row>
    <row r="21" spans="1:12" ht="12.75">
      <c r="A21" s="672" t="s">
        <v>1061</v>
      </c>
      <c r="B21" s="673">
        <v>15557</v>
      </c>
      <c r="C21" s="673">
        <v>15486</v>
      </c>
      <c r="D21" s="673">
        <v>23575</v>
      </c>
      <c r="E21" s="673">
        <v>19463</v>
      </c>
      <c r="F21" s="673">
        <v>6901</v>
      </c>
      <c r="G21" s="673">
        <v>7590</v>
      </c>
      <c r="H21" s="673" t="s">
        <v>331</v>
      </c>
      <c r="I21" s="673" t="s">
        <v>331</v>
      </c>
      <c r="J21" s="673" t="s">
        <v>331</v>
      </c>
      <c r="K21" s="673" t="s">
        <v>331</v>
      </c>
      <c r="L21" s="673" t="s">
        <v>331</v>
      </c>
    </row>
    <row r="22" spans="1:12" ht="12.75">
      <c r="A22" s="670" t="s">
        <v>1062</v>
      </c>
      <c r="B22" s="671">
        <v>15948</v>
      </c>
      <c r="C22" s="671">
        <v>16080</v>
      </c>
      <c r="D22" s="671">
        <v>23608</v>
      </c>
      <c r="E22" s="671">
        <v>22200</v>
      </c>
      <c r="F22" s="671">
        <v>6761</v>
      </c>
      <c r="G22" s="671">
        <v>7455</v>
      </c>
      <c r="H22" s="671" t="s">
        <v>331</v>
      </c>
      <c r="I22" s="671" t="s">
        <v>331</v>
      </c>
      <c r="J22" s="671" t="s">
        <v>331</v>
      </c>
      <c r="K22" s="671" t="s">
        <v>331</v>
      </c>
      <c r="L22" s="671" t="s">
        <v>331</v>
      </c>
    </row>
    <row r="23" spans="1:12" ht="12.75">
      <c r="A23" s="672" t="s">
        <v>1063</v>
      </c>
      <c r="B23" s="673">
        <v>15932</v>
      </c>
      <c r="C23" s="673">
        <v>16007</v>
      </c>
      <c r="D23" s="673">
        <v>23166</v>
      </c>
      <c r="E23" s="673">
        <v>22865</v>
      </c>
      <c r="F23" s="673">
        <v>6607</v>
      </c>
      <c r="G23" s="673">
        <v>7233</v>
      </c>
      <c r="H23" s="673" t="s">
        <v>331</v>
      </c>
      <c r="I23" s="673" t="s">
        <v>331</v>
      </c>
      <c r="J23" s="673" t="s">
        <v>331</v>
      </c>
      <c r="K23" s="673" t="s">
        <v>331</v>
      </c>
      <c r="L23" s="673" t="s">
        <v>331</v>
      </c>
    </row>
    <row r="24" spans="1:12" ht="12.75">
      <c r="A24" s="670" t="s">
        <v>1064</v>
      </c>
      <c r="B24" s="671">
        <v>16478</v>
      </c>
      <c r="C24" s="671">
        <v>16504</v>
      </c>
      <c r="D24" s="671">
        <v>23597</v>
      </c>
      <c r="E24" s="671">
        <v>23491</v>
      </c>
      <c r="F24" s="671">
        <v>6489</v>
      </c>
      <c r="G24" s="671">
        <v>7178</v>
      </c>
      <c r="H24" s="671">
        <v>2373</v>
      </c>
      <c r="I24" s="671" t="s">
        <v>331</v>
      </c>
      <c r="J24" s="671" t="s">
        <v>331</v>
      </c>
      <c r="K24" s="671" t="s">
        <v>331</v>
      </c>
      <c r="L24" s="671" t="s">
        <v>331</v>
      </c>
    </row>
    <row r="25" spans="1:12" ht="12.75">
      <c r="A25" s="649"/>
      <c r="B25" s="674"/>
      <c r="C25" s="674"/>
      <c r="D25" s="674"/>
      <c r="E25" s="674"/>
      <c r="F25" s="674"/>
      <c r="G25" s="674"/>
      <c r="H25" s="674"/>
      <c r="I25" s="674"/>
      <c r="J25" s="674"/>
      <c r="K25" s="674"/>
      <c r="L25" s="671"/>
    </row>
    <row r="26" spans="1:12" ht="12.75">
      <c r="A26" s="672" t="s">
        <v>1065</v>
      </c>
      <c r="B26" s="673">
        <v>17099</v>
      </c>
      <c r="C26" s="673">
        <v>17914</v>
      </c>
      <c r="D26" s="673">
        <v>24857</v>
      </c>
      <c r="E26" s="673">
        <v>24301</v>
      </c>
      <c r="F26" s="673">
        <v>6659</v>
      </c>
      <c r="G26" s="673">
        <v>7596</v>
      </c>
      <c r="H26" s="673">
        <v>2396</v>
      </c>
      <c r="I26" s="673" t="s">
        <v>331</v>
      </c>
      <c r="J26" s="673" t="s">
        <v>331</v>
      </c>
      <c r="K26" s="673" t="s">
        <v>331</v>
      </c>
      <c r="L26" s="673" t="s">
        <v>331</v>
      </c>
    </row>
    <row r="27" spans="1:12" ht="12.75">
      <c r="A27" s="670" t="s">
        <v>1066</v>
      </c>
      <c r="B27" s="671">
        <v>18892</v>
      </c>
      <c r="C27" s="671">
        <v>19980</v>
      </c>
      <c r="D27" s="671">
        <v>27154</v>
      </c>
      <c r="E27" s="671">
        <v>27404</v>
      </c>
      <c r="F27" s="671">
        <v>7181</v>
      </c>
      <c r="G27" s="671">
        <v>8514</v>
      </c>
      <c r="H27" s="671">
        <v>2753</v>
      </c>
      <c r="I27" s="671" t="s">
        <v>331</v>
      </c>
      <c r="J27" s="671" t="s">
        <v>331</v>
      </c>
      <c r="K27" s="671" t="s">
        <v>331</v>
      </c>
      <c r="L27" s="671" t="s">
        <v>331</v>
      </c>
    </row>
    <row r="28" spans="1:12" ht="12.75">
      <c r="A28" s="672" t="s">
        <v>1067</v>
      </c>
      <c r="B28" s="673">
        <v>21282</v>
      </c>
      <c r="C28" s="673">
        <v>23635</v>
      </c>
      <c r="D28" s="673">
        <v>30793</v>
      </c>
      <c r="E28" s="673">
        <v>31558</v>
      </c>
      <c r="F28" s="673">
        <v>8119</v>
      </c>
      <c r="G28" s="673">
        <v>9707</v>
      </c>
      <c r="H28" s="673">
        <v>2832</v>
      </c>
      <c r="I28" s="673" t="s">
        <v>331</v>
      </c>
      <c r="J28" s="673" t="s">
        <v>331</v>
      </c>
      <c r="K28" s="673" t="s">
        <v>331</v>
      </c>
      <c r="L28" s="673" t="s">
        <v>331</v>
      </c>
    </row>
    <row r="29" spans="1:12" ht="12.75">
      <c r="A29" s="670" t="s">
        <v>365</v>
      </c>
      <c r="B29" s="671">
        <v>23671</v>
      </c>
      <c r="C29" s="671">
        <v>26541</v>
      </c>
      <c r="D29" s="671">
        <v>34963</v>
      </c>
      <c r="E29" s="671">
        <v>42998</v>
      </c>
      <c r="F29" s="671">
        <v>9387</v>
      </c>
      <c r="G29" s="671">
        <v>10873</v>
      </c>
      <c r="H29" s="671">
        <v>3633</v>
      </c>
      <c r="I29" s="671" t="s">
        <v>331</v>
      </c>
      <c r="J29" s="671" t="s">
        <v>331</v>
      </c>
      <c r="K29" s="671" t="s">
        <v>331</v>
      </c>
      <c r="L29" s="671" t="s">
        <v>331</v>
      </c>
    </row>
    <row r="30" spans="1:12" ht="12.75">
      <c r="A30" s="672" t="s">
        <v>366</v>
      </c>
      <c r="B30" s="673">
        <v>26296</v>
      </c>
      <c r="C30" s="673">
        <v>31234</v>
      </c>
      <c r="D30" s="673">
        <v>39624</v>
      </c>
      <c r="E30" s="673">
        <v>51004</v>
      </c>
      <c r="F30" s="673">
        <v>11423</v>
      </c>
      <c r="G30" s="673">
        <v>12333</v>
      </c>
      <c r="H30" s="673">
        <v>4419</v>
      </c>
      <c r="I30" s="673">
        <v>6333</v>
      </c>
      <c r="J30" s="673" t="s">
        <v>331</v>
      </c>
      <c r="K30" s="673" t="s">
        <v>331</v>
      </c>
      <c r="L30" s="673" t="s">
        <v>331</v>
      </c>
    </row>
    <row r="31" spans="1:12" ht="12.75">
      <c r="A31" s="649"/>
      <c r="B31" s="674"/>
      <c r="C31" s="674"/>
      <c r="D31" s="674"/>
      <c r="E31" s="674"/>
      <c r="F31" s="674"/>
      <c r="G31" s="674"/>
      <c r="H31" s="674"/>
      <c r="I31" s="674"/>
      <c r="J31" s="674"/>
      <c r="K31" s="674"/>
      <c r="L31" s="671"/>
    </row>
    <row r="32" spans="1:12" ht="12.75">
      <c r="A32" s="670" t="s">
        <v>367</v>
      </c>
      <c r="B32" s="671">
        <v>26659</v>
      </c>
      <c r="C32" s="671">
        <v>31759</v>
      </c>
      <c r="D32" s="671">
        <v>40617</v>
      </c>
      <c r="E32" s="671">
        <v>52262</v>
      </c>
      <c r="F32" s="671">
        <v>12128</v>
      </c>
      <c r="G32" s="671">
        <v>12501</v>
      </c>
      <c r="H32" s="671">
        <v>4989</v>
      </c>
      <c r="I32" s="671">
        <v>6730</v>
      </c>
      <c r="J32" s="671" t="s">
        <v>331</v>
      </c>
      <c r="K32" s="671" t="s">
        <v>331</v>
      </c>
      <c r="L32" s="671" t="s">
        <v>331</v>
      </c>
    </row>
    <row r="33" spans="1:12" ht="12.75">
      <c r="A33" s="672" t="s">
        <v>368</v>
      </c>
      <c r="B33" s="673">
        <v>27801</v>
      </c>
      <c r="C33" s="673">
        <v>32934</v>
      </c>
      <c r="D33" s="673">
        <v>42080</v>
      </c>
      <c r="E33" s="673">
        <v>54489</v>
      </c>
      <c r="F33" s="673">
        <v>12327</v>
      </c>
      <c r="G33" s="673">
        <v>13043</v>
      </c>
      <c r="H33" s="673">
        <v>5180</v>
      </c>
      <c r="I33" s="673">
        <v>7024</v>
      </c>
      <c r="J33" s="673">
        <v>17030</v>
      </c>
      <c r="K33" s="673" t="s">
        <v>331</v>
      </c>
      <c r="L33" s="673" t="s">
        <v>331</v>
      </c>
    </row>
    <row r="34" spans="1:12" ht="12.75">
      <c r="A34" s="670" t="s">
        <v>369</v>
      </c>
      <c r="B34" s="671">
        <v>28487</v>
      </c>
      <c r="C34" s="671">
        <v>34586</v>
      </c>
      <c r="D34" s="671">
        <v>41379</v>
      </c>
      <c r="E34" s="671">
        <v>49997</v>
      </c>
      <c r="F34" s="671">
        <v>12174</v>
      </c>
      <c r="G34" s="671">
        <v>12894</v>
      </c>
      <c r="H34" s="671">
        <v>5294</v>
      </c>
      <c r="I34" s="671">
        <v>7652</v>
      </c>
      <c r="J34" s="671">
        <v>18733</v>
      </c>
      <c r="K34" s="671">
        <v>15339</v>
      </c>
      <c r="L34" s="671" t="s">
        <v>331</v>
      </c>
    </row>
    <row r="35" spans="1:12" ht="12.75">
      <c r="A35" s="675" t="s">
        <v>370</v>
      </c>
      <c r="B35" s="673">
        <v>28124</v>
      </c>
      <c r="C35" s="673">
        <v>36103</v>
      </c>
      <c r="D35" s="673">
        <v>40152</v>
      </c>
      <c r="E35" s="673">
        <v>45884</v>
      </c>
      <c r="F35" s="673">
        <v>11425</v>
      </c>
      <c r="G35" s="673">
        <v>12336</v>
      </c>
      <c r="H35" s="673">
        <v>4663</v>
      </c>
      <c r="I35" s="673">
        <v>7386</v>
      </c>
      <c r="J35" s="673">
        <v>17426</v>
      </c>
      <c r="K35" s="673">
        <v>15770</v>
      </c>
      <c r="L35" s="673" t="s">
        <v>331</v>
      </c>
    </row>
    <row r="36" spans="1:12" ht="12.75">
      <c r="A36" s="676">
        <v>1994</v>
      </c>
      <c r="B36" s="674">
        <v>28554</v>
      </c>
      <c r="C36" s="674">
        <v>31111</v>
      </c>
      <c r="D36" s="674">
        <v>41123</v>
      </c>
      <c r="E36" s="674">
        <v>46960</v>
      </c>
      <c r="F36" s="674">
        <v>10958</v>
      </c>
      <c r="G36" s="674">
        <v>12469</v>
      </c>
      <c r="H36" s="674">
        <v>4529</v>
      </c>
      <c r="I36" s="674">
        <v>7580</v>
      </c>
      <c r="J36" s="674">
        <v>16785</v>
      </c>
      <c r="K36" s="674">
        <v>15524</v>
      </c>
      <c r="L36" s="671" t="s">
        <v>331</v>
      </c>
    </row>
    <row r="37" spans="1:12" ht="12.75">
      <c r="A37" s="676"/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1"/>
    </row>
    <row r="38" spans="1:12" ht="12.75">
      <c r="A38" s="677">
        <v>1995</v>
      </c>
      <c r="B38" s="678">
        <v>29851</v>
      </c>
      <c r="C38" s="678">
        <v>29902</v>
      </c>
      <c r="D38" s="678">
        <v>43270</v>
      </c>
      <c r="E38" s="678">
        <v>48724</v>
      </c>
      <c r="F38" s="678">
        <v>11309</v>
      </c>
      <c r="G38" s="678">
        <v>12906</v>
      </c>
      <c r="H38" s="678">
        <v>4486</v>
      </c>
      <c r="I38" s="678">
        <v>8106</v>
      </c>
      <c r="J38" s="678">
        <v>16763</v>
      </c>
      <c r="K38" s="678">
        <v>15619</v>
      </c>
      <c r="L38" s="673" t="s">
        <v>331</v>
      </c>
    </row>
    <row r="39" spans="1:12" ht="12.75">
      <c r="A39" s="679">
        <v>1996</v>
      </c>
      <c r="B39" s="680">
        <v>28349</v>
      </c>
      <c r="C39" s="680">
        <v>32079</v>
      </c>
      <c r="D39" s="680">
        <v>43530</v>
      </c>
      <c r="E39" s="680">
        <v>52453</v>
      </c>
      <c r="F39" s="680">
        <v>11027</v>
      </c>
      <c r="G39" s="680">
        <v>13070</v>
      </c>
      <c r="H39" s="680">
        <v>4506</v>
      </c>
      <c r="I39" s="680">
        <v>8126</v>
      </c>
      <c r="J39" s="680">
        <v>16960</v>
      </c>
      <c r="K39" s="680">
        <v>16073</v>
      </c>
      <c r="L39" s="671" t="s">
        <v>331</v>
      </c>
    </row>
    <row r="40" spans="1:12" ht="12.75">
      <c r="A40" s="677">
        <v>1997</v>
      </c>
      <c r="B40" s="678">
        <v>30431</v>
      </c>
      <c r="C40" s="678">
        <v>34921</v>
      </c>
      <c r="D40" s="678">
        <v>45677</v>
      </c>
      <c r="E40" s="681">
        <v>58635</v>
      </c>
      <c r="F40" s="678">
        <v>11423</v>
      </c>
      <c r="G40" s="678">
        <v>14186</v>
      </c>
      <c r="H40" s="678">
        <v>4420</v>
      </c>
      <c r="I40" s="678">
        <v>8827</v>
      </c>
      <c r="J40" s="678">
        <v>19279</v>
      </c>
      <c r="K40" s="678">
        <v>17704</v>
      </c>
      <c r="L40" s="673" t="s">
        <v>331</v>
      </c>
    </row>
    <row r="41" spans="1:12" ht="12.75">
      <c r="A41" s="679">
        <v>1998</v>
      </c>
      <c r="B41" s="680">
        <v>32337</v>
      </c>
      <c r="C41" s="680">
        <v>38184</v>
      </c>
      <c r="D41" s="680">
        <v>47799</v>
      </c>
      <c r="E41" s="682">
        <v>63291</v>
      </c>
      <c r="F41" s="680">
        <v>12377</v>
      </c>
      <c r="G41" s="680">
        <v>16692</v>
      </c>
      <c r="H41" s="680">
        <v>4808</v>
      </c>
      <c r="I41" s="680">
        <v>9727</v>
      </c>
      <c r="J41" s="680">
        <v>21659</v>
      </c>
      <c r="K41" s="680">
        <v>21012</v>
      </c>
      <c r="L41" s="680">
        <v>10457</v>
      </c>
    </row>
    <row r="42" spans="1:12" ht="12.75">
      <c r="A42" s="677">
        <v>1999</v>
      </c>
      <c r="B42" s="678">
        <v>36023</v>
      </c>
      <c r="C42" s="678">
        <v>41973</v>
      </c>
      <c r="D42" s="678">
        <v>47089</v>
      </c>
      <c r="E42" s="681">
        <v>70219</v>
      </c>
      <c r="F42" s="678">
        <v>13350</v>
      </c>
      <c r="G42" s="678">
        <v>19092</v>
      </c>
      <c r="H42" s="678">
        <v>5208</v>
      </c>
      <c r="I42" s="678">
        <v>10871</v>
      </c>
      <c r="J42" s="678">
        <v>24333</v>
      </c>
      <c r="K42" s="678">
        <v>25705</v>
      </c>
      <c r="L42" s="678">
        <v>11797</v>
      </c>
    </row>
    <row r="43" spans="1:12" ht="12.75">
      <c r="A43" s="679"/>
      <c r="B43" s="680"/>
      <c r="C43" s="680"/>
      <c r="D43" s="680"/>
      <c r="E43" s="682"/>
      <c r="F43" s="680"/>
      <c r="G43" s="680"/>
      <c r="H43" s="680"/>
      <c r="I43" s="680"/>
      <c r="J43" s="680"/>
      <c r="K43" s="680"/>
      <c r="L43" s="680"/>
    </row>
    <row r="44" spans="1:13" ht="12.75">
      <c r="A44" s="679">
        <v>2000</v>
      </c>
      <c r="B44" s="680">
        <v>38282</v>
      </c>
      <c r="C44" s="680">
        <v>44745</v>
      </c>
      <c r="D44" s="680">
        <v>51279</v>
      </c>
      <c r="E44" s="682">
        <v>83935</v>
      </c>
      <c r="F44" s="680">
        <v>15319</v>
      </c>
      <c r="G44" s="680">
        <v>21118</v>
      </c>
      <c r="H44" s="680">
        <v>5379</v>
      </c>
      <c r="I44" s="680">
        <v>13164</v>
      </c>
      <c r="J44" s="680">
        <v>28013</v>
      </c>
      <c r="K44" s="680">
        <v>29797</v>
      </c>
      <c r="L44" s="680">
        <v>14292</v>
      </c>
      <c r="M44" s="683"/>
    </row>
    <row r="45" spans="1:13" ht="12.75">
      <c r="A45" s="677">
        <v>2001</v>
      </c>
      <c r="B45" s="678">
        <v>40280</v>
      </c>
      <c r="C45" s="678">
        <v>46826</v>
      </c>
      <c r="D45" s="678">
        <v>53721</v>
      </c>
      <c r="E45" s="681">
        <v>90218</v>
      </c>
      <c r="F45" s="678">
        <v>15107</v>
      </c>
      <c r="G45" s="678">
        <v>22744</v>
      </c>
      <c r="H45" s="678">
        <v>5660</v>
      </c>
      <c r="I45" s="678">
        <v>13773</v>
      </c>
      <c r="J45" s="678">
        <v>29675</v>
      </c>
      <c r="K45" s="678">
        <v>32904</v>
      </c>
      <c r="L45" s="678">
        <v>16192</v>
      </c>
      <c r="M45" s="683"/>
    </row>
    <row r="46" spans="1:13" ht="12.75">
      <c r="A46" s="679">
        <v>2002</v>
      </c>
      <c r="B46" s="680">
        <v>42878</v>
      </c>
      <c r="C46" s="680">
        <v>48839</v>
      </c>
      <c r="D46" s="680">
        <v>56071</v>
      </c>
      <c r="E46" s="682">
        <v>92647</v>
      </c>
      <c r="F46" s="680">
        <v>15515</v>
      </c>
      <c r="G46" s="680">
        <v>17291</v>
      </c>
      <c r="H46" s="680">
        <v>5907</v>
      </c>
      <c r="I46" s="680">
        <f>(14272*36.59+17297*11.75)/(11.75+36.59)</f>
        <v>15007.286512205212</v>
      </c>
      <c r="J46" s="680">
        <v>31288</v>
      </c>
      <c r="K46" s="680">
        <v>35256</v>
      </c>
      <c r="L46" s="680">
        <v>17867</v>
      </c>
      <c r="M46" s="683"/>
    </row>
    <row r="47" spans="1:13" ht="12.75">
      <c r="A47" s="677">
        <v>2003</v>
      </c>
      <c r="B47" s="678">
        <v>44407</v>
      </c>
      <c r="C47" s="678">
        <v>51598</v>
      </c>
      <c r="D47" s="678">
        <v>57782</v>
      </c>
      <c r="E47" s="681">
        <v>95713</v>
      </c>
      <c r="F47" s="678">
        <v>15516</v>
      </c>
      <c r="G47" s="678">
        <v>18240</v>
      </c>
      <c r="H47" s="678">
        <v>6012</v>
      </c>
      <c r="I47" s="678">
        <f>(15548*36.59+21368*11.75)/(11.75+36.59)</f>
        <v>16962.66694249069</v>
      </c>
      <c r="J47" s="678">
        <v>33131</v>
      </c>
      <c r="K47" s="678">
        <v>38196</v>
      </c>
      <c r="L47" s="678">
        <v>19768</v>
      </c>
      <c r="M47" s="683"/>
    </row>
    <row r="48" spans="1:13" ht="12.75">
      <c r="A48" s="679">
        <v>2004</v>
      </c>
      <c r="B48" s="680">
        <v>46142.04238141231</v>
      </c>
      <c r="C48" s="680">
        <v>53529.41530054645</v>
      </c>
      <c r="D48" s="680">
        <v>59053.35519125683</v>
      </c>
      <c r="E48" s="680">
        <v>99460.3087431694</v>
      </c>
      <c r="F48" s="680">
        <v>14889.997267759563</v>
      </c>
      <c r="G48" s="680">
        <v>25406.688524590165</v>
      </c>
      <c r="H48" s="680">
        <v>6236.081967213115</v>
      </c>
      <c r="I48" s="680">
        <v>18325.809902421595</v>
      </c>
      <c r="J48" s="680">
        <v>32974.22677595628</v>
      </c>
      <c r="K48" s="680">
        <v>39781.620218579235</v>
      </c>
      <c r="L48" s="680">
        <v>21090.55737704918</v>
      </c>
      <c r="M48" s="683"/>
    </row>
    <row r="49" spans="1:13" ht="12.75">
      <c r="A49" s="679"/>
      <c r="B49" s="680"/>
      <c r="C49" s="680"/>
      <c r="D49" s="680"/>
      <c r="E49" s="680"/>
      <c r="F49" s="680"/>
      <c r="G49" s="680"/>
      <c r="H49" s="680"/>
      <c r="I49" s="680"/>
      <c r="J49" s="680"/>
      <c r="K49" s="680"/>
      <c r="L49" s="680"/>
      <c r="M49" s="683"/>
    </row>
    <row r="50" spans="1:13" ht="12.75">
      <c r="A50" s="677">
        <v>2005</v>
      </c>
      <c r="B50" s="678">
        <v>47455</v>
      </c>
      <c r="C50" s="678">
        <v>54766</v>
      </c>
      <c r="D50" s="678">
        <v>60342</v>
      </c>
      <c r="E50" s="678">
        <v>111353</v>
      </c>
      <c r="F50" s="678">
        <v>13681</v>
      </c>
      <c r="G50" s="678">
        <v>25937</v>
      </c>
      <c r="H50" s="678">
        <v>6281</v>
      </c>
      <c r="I50" s="678">
        <v>19586.425941249483</v>
      </c>
      <c r="J50" s="678">
        <v>33587</v>
      </c>
      <c r="K50" s="678">
        <v>41048</v>
      </c>
      <c r="L50" s="678">
        <v>22211</v>
      </c>
      <c r="M50" s="683"/>
    </row>
    <row r="51" spans="1:13" ht="12.75">
      <c r="A51" s="679">
        <v>2006</v>
      </c>
      <c r="B51" s="680">
        <v>49691</v>
      </c>
      <c r="C51" s="680">
        <v>56946</v>
      </c>
      <c r="D51" s="680">
        <v>63683</v>
      </c>
      <c r="E51" s="680">
        <v>115607</v>
      </c>
      <c r="F51" s="680">
        <v>14171</v>
      </c>
      <c r="G51" s="680">
        <v>28318</v>
      </c>
      <c r="H51" s="680">
        <v>6176</v>
      </c>
      <c r="I51" s="680">
        <v>21528.615225486137</v>
      </c>
      <c r="J51" s="680">
        <v>34603</v>
      </c>
      <c r="K51" s="680">
        <v>43871</v>
      </c>
      <c r="L51" s="680">
        <v>24188</v>
      </c>
      <c r="M51" s="683"/>
    </row>
    <row r="52" spans="1:13" ht="12.75">
      <c r="A52" s="677">
        <v>2007</v>
      </c>
      <c r="B52" s="678">
        <v>52671</v>
      </c>
      <c r="C52" s="678">
        <v>59452</v>
      </c>
      <c r="D52" s="678">
        <v>66218</v>
      </c>
      <c r="E52" s="678">
        <v>118519</v>
      </c>
      <c r="F52" s="678">
        <v>14395</v>
      </c>
      <c r="G52" s="678">
        <v>29249</v>
      </c>
      <c r="H52" s="678">
        <v>6425</v>
      </c>
      <c r="I52" s="678">
        <v>23874.706661150187</v>
      </c>
      <c r="J52" s="678">
        <v>35699</v>
      </c>
      <c r="K52" s="678">
        <v>46491</v>
      </c>
      <c r="L52" s="678">
        <v>26370</v>
      </c>
      <c r="M52" s="683"/>
    </row>
    <row r="53" spans="1:13" ht="12.75">
      <c r="A53" s="679">
        <v>2008</v>
      </c>
      <c r="B53" s="680">
        <v>49771</v>
      </c>
      <c r="C53" s="680">
        <v>57350</v>
      </c>
      <c r="D53" s="680">
        <v>61702</v>
      </c>
      <c r="E53" s="680">
        <v>114751</v>
      </c>
      <c r="F53" s="680">
        <v>13066</v>
      </c>
      <c r="G53" s="684">
        <v>24688</v>
      </c>
      <c r="H53" s="680">
        <v>6850</v>
      </c>
      <c r="I53" s="680">
        <v>23487</v>
      </c>
      <c r="J53" s="680">
        <v>35414</v>
      </c>
      <c r="K53" s="680">
        <v>41367</v>
      </c>
      <c r="L53" s="680">
        <v>23633</v>
      </c>
      <c r="M53" s="683"/>
    </row>
    <row r="54" spans="1:13" ht="12.75">
      <c r="A54" s="677">
        <v>2009</v>
      </c>
      <c r="B54" s="678">
        <f>+'[1]5.2.17'!B174</f>
        <v>47056</v>
      </c>
      <c r="C54" s="678">
        <f>+'[1]5.2.17'!C174</f>
        <v>55732</v>
      </c>
      <c r="D54" s="678">
        <f>+'[1]5.2.17'!D174</f>
        <v>57556</v>
      </c>
      <c r="E54" s="678">
        <f>+'[1]5.2.17'!E174</f>
        <v>109766</v>
      </c>
      <c r="F54" s="678">
        <f>+'[1]5.2.17'!F174</f>
        <v>11670</v>
      </c>
      <c r="G54" s="678">
        <v>21871</v>
      </c>
      <c r="H54" s="678">
        <f>+'[1]5.2.17'!H174</f>
        <v>6886</v>
      </c>
      <c r="I54" s="678">
        <f>+('[1]5.2.17'!I174*11.75+'[1]5.2.17'!J174*36.59)/(36.59+11.75)</f>
        <v>21339.012825817128</v>
      </c>
      <c r="J54" s="678">
        <f>+'[1]5.2.17'!K174</f>
        <v>33800</v>
      </c>
      <c r="K54" s="678">
        <f>+'[1]5.2.17'!L174</f>
        <v>38152</v>
      </c>
      <c r="L54" s="678">
        <f>+'[1]5.2.17'!M174</f>
        <v>21212</v>
      </c>
      <c r="M54" s="683"/>
    </row>
    <row r="55" spans="1:13" ht="12.75">
      <c r="A55" s="679"/>
      <c r="B55" s="685"/>
      <c r="C55" s="685"/>
      <c r="D55" s="685"/>
      <c r="E55" s="685"/>
      <c r="F55" s="685"/>
      <c r="G55" s="685"/>
      <c r="H55" s="685"/>
      <c r="I55" s="685"/>
      <c r="J55" s="685"/>
      <c r="K55" s="685"/>
      <c r="L55" s="685"/>
      <c r="M55" s="683"/>
    </row>
    <row r="56" spans="1:13" ht="12.75">
      <c r="A56" s="679">
        <v>2010</v>
      </c>
      <c r="B56" s="685">
        <v>46104</v>
      </c>
      <c r="C56" s="685">
        <v>52749</v>
      </c>
      <c r="D56" s="685">
        <v>54825</v>
      </c>
      <c r="E56" s="685">
        <v>108967</v>
      </c>
      <c r="F56" s="685">
        <v>11115</v>
      </c>
      <c r="G56" s="685">
        <v>19963</v>
      </c>
      <c r="H56" s="685">
        <v>6680</v>
      </c>
      <c r="I56" s="685">
        <v>20583.11729416632</v>
      </c>
      <c r="J56" s="685">
        <v>33034</v>
      </c>
      <c r="K56" s="685">
        <v>36829</v>
      </c>
      <c r="L56" s="685">
        <v>20008</v>
      </c>
      <c r="M56" s="683"/>
    </row>
    <row r="57" spans="1:13" ht="12.75">
      <c r="A57" s="677">
        <v>2011</v>
      </c>
      <c r="B57" s="678">
        <v>44171</v>
      </c>
      <c r="C57" s="678">
        <v>49993</v>
      </c>
      <c r="D57" s="678">
        <v>51856</v>
      </c>
      <c r="E57" s="678">
        <v>107211</v>
      </c>
      <c r="F57" s="678">
        <v>10141</v>
      </c>
      <c r="G57" s="686">
        <v>18546</v>
      </c>
      <c r="H57" s="678">
        <v>6214</v>
      </c>
      <c r="I57" s="678">
        <v>19113.362432767895</v>
      </c>
      <c r="J57" s="678">
        <v>31459</v>
      </c>
      <c r="K57" s="678">
        <v>34895</v>
      </c>
      <c r="L57" s="678">
        <v>18776</v>
      </c>
      <c r="M57" s="683"/>
    </row>
    <row r="58" spans="1:13" ht="12.75">
      <c r="A58" s="679">
        <v>2012</v>
      </c>
      <c r="B58" s="685">
        <v>41111</v>
      </c>
      <c r="C58" s="685">
        <v>46941</v>
      </c>
      <c r="D58" s="685">
        <v>47588</v>
      </c>
      <c r="E58" s="685">
        <v>103290</v>
      </c>
      <c r="F58" s="685">
        <v>8857</v>
      </c>
      <c r="G58" s="685">
        <v>16191</v>
      </c>
      <c r="H58" s="685">
        <v>5631</v>
      </c>
      <c r="I58" s="685">
        <v>15055.561439801408</v>
      </c>
      <c r="J58" s="685">
        <v>27819</v>
      </c>
      <c r="K58" s="685">
        <v>29919</v>
      </c>
      <c r="L58" s="685">
        <v>16707</v>
      </c>
      <c r="M58" s="683"/>
    </row>
    <row r="59" spans="1:13" ht="12.75">
      <c r="A59" s="677">
        <v>2013</v>
      </c>
      <c r="B59" s="678">
        <v>40720</v>
      </c>
      <c r="C59" s="678">
        <v>45715</v>
      </c>
      <c r="D59" s="678">
        <v>45911</v>
      </c>
      <c r="E59" s="678">
        <v>99902</v>
      </c>
      <c r="F59" s="678">
        <v>7901</v>
      </c>
      <c r="G59" s="678">
        <v>15319</v>
      </c>
      <c r="H59" s="678">
        <v>5732</v>
      </c>
      <c r="I59" s="678">
        <v>16105.737691352917</v>
      </c>
      <c r="J59" s="678">
        <v>25894</v>
      </c>
      <c r="K59" s="678">
        <v>27915</v>
      </c>
      <c r="L59" s="678">
        <v>15574</v>
      </c>
      <c r="M59" s="683"/>
    </row>
    <row r="60" spans="1:13" ht="12.75">
      <c r="A60" s="679">
        <v>2014</v>
      </c>
      <c r="B60" s="685">
        <v>42711.090242601975</v>
      </c>
      <c r="C60" s="685">
        <v>46557</v>
      </c>
      <c r="D60" s="685">
        <v>46889</v>
      </c>
      <c r="E60" s="685">
        <v>101976</v>
      </c>
      <c r="F60" s="685">
        <v>7882</v>
      </c>
      <c r="G60" s="685">
        <v>15205</v>
      </c>
      <c r="H60" s="685">
        <v>5959</v>
      </c>
      <c r="I60" s="685">
        <v>14139</v>
      </c>
      <c r="J60" s="684">
        <v>26398</v>
      </c>
      <c r="K60" s="684">
        <v>28955.470435971267</v>
      </c>
      <c r="L60" s="684">
        <v>15955.565459985839</v>
      </c>
      <c r="M60" s="683"/>
    </row>
    <row r="61" spans="1:13" ht="12.75">
      <c r="A61" s="677">
        <v>2015</v>
      </c>
      <c r="B61" s="678">
        <v>44898.609570781126</v>
      </c>
      <c r="C61" s="678">
        <v>48861</v>
      </c>
      <c r="D61" s="678">
        <v>49859</v>
      </c>
      <c r="E61" s="678">
        <v>105286</v>
      </c>
      <c r="F61" s="678">
        <v>8463</v>
      </c>
      <c r="G61" s="678">
        <v>16575</v>
      </c>
      <c r="H61" s="678">
        <v>6375</v>
      </c>
      <c r="I61" s="678">
        <v>15286</v>
      </c>
      <c r="J61" s="678">
        <v>27865</v>
      </c>
      <c r="K61" s="678">
        <v>30698.202018439348</v>
      </c>
      <c r="L61" s="678">
        <v>17051.169563310996</v>
      </c>
      <c r="M61" s="683"/>
    </row>
    <row r="62" spans="1:13" ht="12.75">
      <c r="A62" s="679">
        <v>2016</v>
      </c>
      <c r="B62" s="685">
        <v>45798</v>
      </c>
      <c r="C62" s="685">
        <v>50788</v>
      </c>
      <c r="D62" s="685"/>
      <c r="E62" s="685">
        <v>109885</v>
      </c>
      <c r="F62" s="685">
        <v>11465</v>
      </c>
      <c r="G62" s="685"/>
      <c r="H62" s="685">
        <v>6804</v>
      </c>
      <c r="I62" s="685">
        <v>15624</v>
      </c>
      <c r="J62" s="684">
        <v>29599</v>
      </c>
      <c r="K62" s="684">
        <v>37191</v>
      </c>
      <c r="L62" s="684">
        <v>22311</v>
      </c>
      <c r="M62" s="683"/>
    </row>
    <row r="63" spans="1:13" ht="12.75">
      <c r="A63" s="677">
        <v>2017</v>
      </c>
      <c r="B63" s="678">
        <v>42526</v>
      </c>
      <c r="C63" s="678">
        <v>48680</v>
      </c>
      <c r="D63" s="678">
        <v>48378</v>
      </c>
      <c r="E63" s="678"/>
      <c r="F63" s="678">
        <v>11915</v>
      </c>
      <c r="G63" s="678">
        <v>16488</v>
      </c>
      <c r="H63" s="678">
        <v>6971</v>
      </c>
      <c r="I63" s="678">
        <v>17871</v>
      </c>
      <c r="J63" s="678">
        <v>30371</v>
      </c>
      <c r="K63" s="678">
        <v>34316</v>
      </c>
      <c r="L63" s="678">
        <v>19506</v>
      </c>
      <c r="M63" s="683"/>
    </row>
    <row r="64" spans="1:13" ht="12.75">
      <c r="A64" s="679">
        <v>2018</v>
      </c>
      <c r="B64" s="685">
        <v>43139</v>
      </c>
      <c r="C64" s="685">
        <v>49357</v>
      </c>
      <c r="D64" s="685">
        <v>43705</v>
      </c>
      <c r="E64" s="685"/>
      <c r="F64" s="685">
        <v>11465</v>
      </c>
      <c r="G64" s="685">
        <v>16332</v>
      </c>
      <c r="H64" s="685">
        <v>8551</v>
      </c>
      <c r="I64" s="685">
        <v>18906</v>
      </c>
      <c r="J64" s="684">
        <v>29624</v>
      </c>
      <c r="K64" s="684">
        <v>30916</v>
      </c>
      <c r="L64" s="684">
        <v>16737</v>
      </c>
      <c r="M64" s="683"/>
    </row>
    <row r="65" spans="1:12" ht="12.75">
      <c r="A65" s="754"/>
      <c r="B65" s="755"/>
      <c r="C65" s="755"/>
      <c r="D65" s="755"/>
      <c r="E65" s="756"/>
      <c r="F65" s="755"/>
      <c r="G65" s="755"/>
      <c r="H65" s="755"/>
      <c r="I65" s="755"/>
      <c r="J65" s="755"/>
      <c r="K65" s="757"/>
      <c r="L65" s="757"/>
    </row>
    <row r="66" spans="1:12" ht="12.75">
      <c r="A66" s="679"/>
      <c r="B66" s="687"/>
      <c r="C66" s="687"/>
      <c r="D66" s="687"/>
      <c r="E66" s="682"/>
      <c r="F66" s="687"/>
      <c r="G66" s="687"/>
      <c r="H66" s="687"/>
      <c r="I66" s="687"/>
      <c r="J66" s="687"/>
      <c r="K66" s="687"/>
      <c r="L66" s="687"/>
    </row>
    <row r="67" spans="1:11" ht="12.75">
      <c r="A67" s="688" t="s">
        <v>397</v>
      </c>
      <c r="B67" s="687"/>
      <c r="C67" s="687"/>
      <c r="D67" s="687"/>
      <c r="E67" s="682"/>
      <c r="F67" s="687"/>
      <c r="G67" s="687"/>
      <c r="H67" s="687"/>
      <c r="I67" s="687"/>
      <c r="J67" s="687"/>
      <c r="K67" s="687"/>
    </row>
    <row r="68" spans="1:11" ht="12.75">
      <c r="A68" s="688" t="s">
        <v>1085</v>
      </c>
      <c r="B68" s="687"/>
      <c r="C68" s="687"/>
      <c r="D68" s="687"/>
      <c r="E68" s="682"/>
      <c r="F68" s="687"/>
      <c r="G68" s="687"/>
      <c r="H68" s="687"/>
      <c r="I68" s="687"/>
      <c r="J68" s="687"/>
      <c r="K68" s="687"/>
    </row>
    <row r="69" spans="1:11" ht="12.75">
      <c r="A69" s="688" t="s">
        <v>1086</v>
      </c>
      <c r="B69" s="689"/>
      <c r="C69" s="689"/>
      <c r="D69" s="689"/>
      <c r="E69" s="651"/>
      <c r="F69" s="689"/>
      <c r="G69" s="689"/>
      <c r="H69" s="689"/>
      <c r="I69" s="689"/>
      <c r="J69" s="689"/>
      <c r="K69" s="689"/>
    </row>
    <row r="70" spans="1:11" ht="12.75">
      <c r="A70" s="688" t="s">
        <v>1121</v>
      </c>
      <c r="B70" s="689"/>
      <c r="C70" s="689"/>
      <c r="D70" s="689"/>
      <c r="E70" s="651"/>
      <c r="F70" s="689"/>
      <c r="G70" s="689"/>
      <c r="H70" s="689"/>
      <c r="I70" s="689"/>
      <c r="J70" s="689"/>
      <c r="K70" s="689"/>
    </row>
    <row r="71" spans="1:11" ht="12.75">
      <c r="A71" s="690" t="s">
        <v>373</v>
      </c>
      <c r="B71" s="689"/>
      <c r="C71" s="689"/>
      <c r="D71" s="689"/>
      <c r="E71" s="651"/>
      <c r="F71" s="689"/>
      <c r="G71" s="689"/>
      <c r="H71" s="689"/>
      <c r="I71" s="689"/>
      <c r="J71" s="689"/>
      <c r="K71" s="689"/>
    </row>
    <row r="72" ht="12.75">
      <c r="A72" s="691"/>
    </row>
  </sheetData>
  <sheetProtection/>
  <printOptions/>
  <pageMargins left="0.1968503937007874" right="0.75" top="0.5511811023622047" bottom="0" header="0" footer="0"/>
  <pageSetup fitToHeight="1" fitToWidth="1" horizontalDpi="600" verticalDpi="600" orientation="portrait" paperSize="9" scale="84" r:id="rId1"/>
  <ignoredErrors>
    <ignoredError sqref="A8:A3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transitionEntry="1"/>
  <dimension ref="A1:AC441"/>
  <sheetViews>
    <sheetView showGridLines="0" zoomScalePageLayoutView="0" workbookViewId="0" topLeftCell="A1">
      <pane ySplit="3" topLeftCell="A90" activePane="bottomLeft" state="frozen"/>
      <selection pane="topLeft" activeCell="G19" sqref="G19"/>
      <selection pane="bottomLeft" activeCell="G19" sqref="G19"/>
    </sheetView>
  </sheetViews>
  <sheetFormatPr defaultColWidth="13.140625" defaultRowHeight="12.75"/>
  <cols>
    <col min="1" max="1" width="9.421875" style="99" customWidth="1"/>
    <col min="2" max="2" width="11.28125" style="381" customWidth="1"/>
    <col min="3" max="3" width="9.421875" style="380" customWidth="1"/>
    <col min="4" max="4" width="9.8515625" style="378" customWidth="1"/>
    <col min="5" max="5" width="11.00390625" style="378" customWidth="1"/>
    <col min="6" max="6" width="11.28125" style="378" customWidth="1"/>
    <col min="7" max="8" width="8.28125" style="378" customWidth="1"/>
    <col min="9" max="9" width="10.421875" style="378" customWidth="1"/>
    <col min="10" max="10" width="9.00390625" style="378" customWidth="1"/>
    <col min="11" max="11" width="10.57421875" style="378" customWidth="1"/>
    <col min="12" max="12" width="11.421875" style="378" customWidth="1"/>
    <col min="13" max="13" width="11.00390625" style="378" customWidth="1"/>
    <col min="14" max="19" width="11.00390625" style="379" customWidth="1"/>
    <col min="20" max="194" width="11.00390625" style="378" customWidth="1"/>
    <col min="195" max="16384" width="13.140625" style="378" customWidth="1"/>
  </cols>
  <sheetData>
    <row r="1" spans="1:19" s="89" customFormat="1" ht="15">
      <c r="A1" s="346" t="s">
        <v>1158</v>
      </c>
      <c r="B1" s="86"/>
      <c r="C1" s="87"/>
      <c r="D1" s="88"/>
      <c r="E1" s="88"/>
      <c r="K1" s="88"/>
      <c r="N1" s="296"/>
      <c r="O1" s="296"/>
      <c r="P1" s="296"/>
      <c r="Q1" s="296"/>
      <c r="R1" s="296"/>
      <c r="S1" s="296"/>
    </row>
    <row r="2" spans="1:14" ht="12">
      <c r="A2" s="90"/>
      <c r="B2" s="416"/>
      <c r="C2" s="416"/>
      <c r="D2" s="416"/>
      <c r="E2" s="384"/>
      <c r="F2" s="381"/>
      <c r="G2" s="381"/>
      <c r="H2" s="381"/>
      <c r="I2" s="381"/>
      <c r="J2" s="381"/>
      <c r="K2" s="384"/>
      <c r="L2" s="381"/>
      <c r="M2" s="91" t="s">
        <v>294</v>
      </c>
      <c r="N2" s="297"/>
    </row>
    <row r="3" spans="1:29" s="93" customFormat="1" ht="42" customHeight="1">
      <c r="A3" s="481"/>
      <c r="B3" s="482" t="s">
        <v>1124</v>
      </c>
      <c r="C3" s="482" t="s">
        <v>1122</v>
      </c>
      <c r="D3" s="482" t="s">
        <v>295</v>
      </c>
      <c r="E3" s="482" t="s">
        <v>296</v>
      </c>
      <c r="F3" s="482" t="s">
        <v>297</v>
      </c>
      <c r="G3" s="482" t="s">
        <v>298</v>
      </c>
      <c r="H3" s="483" t="s">
        <v>971</v>
      </c>
      <c r="I3" s="482" t="s">
        <v>970</v>
      </c>
      <c r="J3" s="482" t="s">
        <v>300</v>
      </c>
      <c r="K3" s="482" t="s">
        <v>972</v>
      </c>
      <c r="L3" s="482" t="s">
        <v>404</v>
      </c>
      <c r="M3" s="482" t="s">
        <v>301</v>
      </c>
      <c r="N3" s="298"/>
      <c r="O3" s="299"/>
      <c r="P3" s="299"/>
      <c r="Q3" s="299"/>
      <c r="R3" s="299"/>
      <c r="S3" s="299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s="91" customFormat="1" ht="12.75">
      <c r="A4" s="94"/>
      <c r="B4" s="95"/>
      <c r="C4" s="94"/>
      <c r="D4" s="96"/>
      <c r="E4" s="96"/>
      <c r="F4" s="96"/>
      <c r="G4" s="96"/>
      <c r="H4" s="96"/>
      <c r="I4" s="96"/>
      <c r="J4" s="96"/>
      <c r="K4" s="96"/>
      <c r="L4" s="96"/>
      <c r="M4" s="96"/>
      <c r="N4" s="300"/>
      <c r="O4" s="300"/>
      <c r="P4" s="300"/>
      <c r="Q4" s="300"/>
      <c r="R4" s="300"/>
      <c r="S4" s="300"/>
      <c r="T4" s="96"/>
      <c r="U4" s="96"/>
      <c r="V4" s="96"/>
      <c r="W4" s="96"/>
      <c r="X4" s="96"/>
      <c r="Y4" s="96"/>
      <c r="Z4" s="96"/>
      <c r="AA4" s="96"/>
      <c r="AB4" s="96"/>
      <c r="AC4" s="96"/>
    </row>
    <row r="5" spans="1:19" s="98" customFormat="1" ht="12.75" customHeight="1" hidden="1">
      <c r="A5" s="94">
        <v>1997</v>
      </c>
      <c r="B5" s="97">
        <f aca="true" t="shared" si="0" ref="B5:H5">(B6*31+B7*28+B8*31+B9*30+B10*31+B11*30+B12*31+B13*31+B14*30+B15*31+B16*30+B17*31)/365</f>
        <v>30430.60821917808</v>
      </c>
      <c r="C5" s="97">
        <f t="shared" si="0"/>
        <v>34921.375342465755</v>
      </c>
      <c r="D5" s="97">
        <f t="shared" si="0"/>
        <v>45676.62191780822</v>
      </c>
      <c r="E5" s="97">
        <f t="shared" si="0"/>
        <v>58634.82191780822</v>
      </c>
      <c r="F5" s="97">
        <f t="shared" si="0"/>
        <v>11803.298630136986</v>
      </c>
      <c r="G5" s="97">
        <f t="shared" si="0"/>
        <v>14808.208219178083</v>
      </c>
      <c r="H5" s="97">
        <f t="shared" si="0"/>
        <v>4420.156164383561</v>
      </c>
      <c r="I5" s="97">
        <f>SUM(I6:I17)/12</f>
        <v>9467.666666666666</v>
      </c>
      <c r="J5" s="97">
        <f>SUM(J6:J17)/12</f>
        <v>8621.916666666666</v>
      </c>
      <c r="K5" s="97">
        <f>(K6*31+K7*28+K8*31+K9*30+K10*31+K11*30+K12*31+K13*31+K14*30+K15*31+K16*30+K17*31)/365</f>
        <v>19278.86301369863</v>
      </c>
      <c r="L5" s="97">
        <f>(L6*31+L7*28+L8*31+L9*30+L10*31+L11*30+L12*31+L13*31+L14*30+L15*31+L16*30+L17*31)/365</f>
        <v>17703.915068493152</v>
      </c>
      <c r="M5" s="415" t="s">
        <v>331</v>
      </c>
      <c r="N5" s="414"/>
      <c r="O5" s="301"/>
      <c r="P5" s="301"/>
      <c r="Q5" s="301"/>
      <c r="R5" s="301"/>
      <c r="S5" s="301"/>
    </row>
    <row r="6" spans="1:14" ht="12.75" customHeight="1" hidden="1">
      <c r="A6" s="94" t="s">
        <v>302</v>
      </c>
      <c r="B6" s="391">
        <v>21611</v>
      </c>
      <c r="C6" s="391">
        <v>26084</v>
      </c>
      <c r="D6" s="391">
        <v>33356</v>
      </c>
      <c r="E6" s="391">
        <v>48638</v>
      </c>
      <c r="F6" s="398">
        <v>8282</v>
      </c>
      <c r="G6" s="398">
        <v>10032</v>
      </c>
      <c r="H6" s="391">
        <v>4528</v>
      </c>
      <c r="I6" s="391">
        <v>8881</v>
      </c>
      <c r="J6" s="391">
        <v>7874</v>
      </c>
      <c r="K6" s="391">
        <v>18214</v>
      </c>
      <c r="L6" s="391">
        <v>12742</v>
      </c>
      <c r="M6" s="413" t="s">
        <v>331</v>
      </c>
      <c r="N6" s="412"/>
    </row>
    <row r="7" spans="1:14" ht="12.75" customHeight="1" hidden="1">
      <c r="A7" s="94" t="s">
        <v>303</v>
      </c>
      <c r="B7" s="389">
        <v>23977</v>
      </c>
      <c r="C7" s="389">
        <v>29373</v>
      </c>
      <c r="D7" s="389">
        <v>38379</v>
      </c>
      <c r="E7" s="389">
        <v>54026</v>
      </c>
      <c r="F7" s="398">
        <v>9717</v>
      </c>
      <c r="G7" s="398">
        <v>10929</v>
      </c>
      <c r="H7" s="389">
        <v>5243</v>
      </c>
      <c r="I7" s="389">
        <v>9828</v>
      </c>
      <c r="J7" s="389">
        <v>9039</v>
      </c>
      <c r="K7" s="389">
        <v>19622</v>
      </c>
      <c r="L7" s="389">
        <v>15622</v>
      </c>
      <c r="M7" s="413" t="s">
        <v>331</v>
      </c>
      <c r="N7" s="412"/>
    </row>
    <row r="8" spans="1:14" ht="12.75" customHeight="1" hidden="1">
      <c r="A8" s="94" t="s">
        <v>304</v>
      </c>
      <c r="B8" s="389">
        <v>28520</v>
      </c>
      <c r="C8" s="389">
        <v>33419</v>
      </c>
      <c r="D8" s="389">
        <v>46070</v>
      </c>
      <c r="E8" s="389">
        <v>55351</v>
      </c>
      <c r="F8" s="398">
        <v>12457</v>
      </c>
      <c r="G8" s="398">
        <v>14478</v>
      </c>
      <c r="H8" s="389">
        <v>5194</v>
      </c>
      <c r="I8" s="389">
        <v>8918</v>
      </c>
      <c r="J8" s="389">
        <v>8848</v>
      </c>
      <c r="K8" s="389">
        <v>17856</v>
      </c>
      <c r="L8" s="389">
        <v>17793</v>
      </c>
      <c r="M8" s="413" t="s">
        <v>331</v>
      </c>
      <c r="N8" s="412"/>
    </row>
    <row r="9" spans="1:14" ht="12.75" customHeight="1" hidden="1">
      <c r="A9" s="94" t="s">
        <v>305</v>
      </c>
      <c r="B9" s="389">
        <v>28344</v>
      </c>
      <c r="C9" s="389">
        <v>32957</v>
      </c>
      <c r="D9" s="389">
        <v>42603</v>
      </c>
      <c r="E9" s="389">
        <v>59785</v>
      </c>
      <c r="F9" s="398">
        <v>10400</v>
      </c>
      <c r="G9" s="398">
        <v>13015</v>
      </c>
      <c r="H9" s="389">
        <v>3028</v>
      </c>
      <c r="I9" s="389">
        <v>9801</v>
      </c>
      <c r="J9" s="389">
        <v>7884</v>
      </c>
      <c r="K9" s="389">
        <v>20694</v>
      </c>
      <c r="L9" s="389">
        <v>16226</v>
      </c>
      <c r="M9" s="413" t="s">
        <v>331</v>
      </c>
      <c r="N9" s="412"/>
    </row>
    <row r="10" spans="1:14" ht="12.75" customHeight="1" hidden="1">
      <c r="A10" s="94" t="s">
        <v>306</v>
      </c>
      <c r="B10" s="389">
        <v>30371</v>
      </c>
      <c r="C10" s="389">
        <v>35388</v>
      </c>
      <c r="D10" s="389">
        <v>44988</v>
      </c>
      <c r="E10" s="389">
        <v>59944</v>
      </c>
      <c r="F10" s="398">
        <v>10649</v>
      </c>
      <c r="G10" s="398">
        <v>13224</v>
      </c>
      <c r="H10" s="389">
        <v>3484</v>
      </c>
      <c r="I10" s="389">
        <v>9343</v>
      </c>
      <c r="J10" s="389">
        <v>8241</v>
      </c>
      <c r="K10" s="389">
        <v>19461</v>
      </c>
      <c r="L10" s="389">
        <v>17901</v>
      </c>
      <c r="M10" s="413" t="s">
        <v>331</v>
      </c>
      <c r="N10" s="412"/>
    </row>
    <row r="11" spans="1:14" ht="12.75" customHeight="1" hidden="1">
      <c r="A11" s="94" t="s">
        <v>978</v>
      </c>
      <c r="B11" s="389">
        <v>31411</v>
      </c>
      <c r="C11" s="389">
        <v>38354</v>
      </c>
      <c r="D11" s="389">
        <v>46708</v>
      </c>
      <c r="E11" s="389">
        <v>60045</v>
      </c>
      <c r="F11" s="398">
        <v>11356</v>
      </c>
      <c r="G11" s="398">
        <v>13228</v>
      </c>
      <c r="H11" s="389">
        <v>3400</v>
      </c>
      <c r="I11" s="389">
        <v>9457</v>
      </c>
      <c r="J11" s="389">
        <v>8147</v>
      </c>
      <c r="K11" s="389">
        <v>19899</v>
      </c>
      <c r="L11" s="389">
        <v>19837</v>
      </c>
      <c r="M11" s="413" t="s">
        <v>331</v>
      </c>
      <c r="N11" s="412"/>
    </row>
    <row r="12" spans="1:14" ht="12.75" customHeight="1" hidden="1">
      <c r="A12" s="94" t="s">
        <v>979</v>
      </c>
      <c r="B12" s="389">
        <v>42100</v>
      </c>
      <c r="C12" s="389">
        <v>45387</v>
      </c>
      <c r="D12" s="389">
        <v>57954</v>
      </c>
      <c r="E12" s="389">
        <v>69370</v>
      </c>
      <c r="F12" s="398">
        <v>15243</v>
      </c>
      <c r="G12" s="398">
        <v>19291</v>
      </c>
      <c r="H12" s="389">
        <v>4250</v>
      </c>
      <c r="I12" s="389">
        <v>9889</v>
      </c>
      <c r="J12" s="389">
        <v>8968</v>
      </c>
      <c r="K12" s="389">
        <v>20095</v>
      </c>
      <c r="L12" s="389">
        <v>23219</v>
      </c>
      <c r="M12" s="413" t="s">
        <v>331</v>
      </c>
      <c r="N12" s="412"/>
    </row>
    <row r="13" spans="1:14" ht="12.75" customHeight="1" hidden="1">
      <c r="A13" s="94" t="s">
        <v>980</v>
      </c>
      <c r="B13" s="389">
        <v>45991</v>
      </c>
      <c r="C13" s="389">
        <v>42566</v>
      </c>
      <c r="D13" s="389">
        <v>66254</v>
      </c>
      <c r="E13" s="389">
        <v>62796</v>
      </c>
      <c r="F13" s="398">
        <v>19932</v>
      </c>
      <c r="G13" s="398">
        <v>28530</v>
      </c>
      <c r="H13" s="389">
        <v>6344</v>
      </c>
      <c r="I13" s="389">
        <v>5911</v>
      </c>
      <c r="J13" s="389">
        <v>7991</v>
      </c>
      <c r="K13" s="389">
        <v>10609</v>
      </c>
      <c r="L13" s="389">
        <v>23445</v>
      </c>
      <c r="M13" s="413" t="s">
        <v>331</v>
      </c>
      <c r="N13" s="412"/>
    </row>
    <row r="14" spans="1:14" ht="12.75" customHeight="1" hidden="1">
      <c r="A14" s="94" t="s">
        <v>981</v>
      </c>
      <c r="B14" s="389">
        <v>32341</v>
      </c>
      <c r="C14" s="389">
        <v>37509</v>
      </c>
      <c r="D14" s="389">
        <v>48315</v>
      </c>
      <c r="E14" s="389">
        <v>61249</v>
      </c>
      <c r="F14" s="398">
        <v>12824</v>
      </c>
      <c r="G14" s="398">
        <v>15845</v>
      </c>
      <c r="H14" s="389">
        <v>4470</v>
      </c>
      <c r="I14" s="389">
        <v>9706</v>
      </c>
      <c r="J14" s="389">
        <v>9137</v>
      </c>
      <c r="K14" s="389">
        <v>19424</v>
      </c>
      <c r="L14" s="389">
        <v>18433</v>
      </c>
      <c r="M14" s="413" t="s">
        <v>331</v>
      </c>
      <c r="N14" s="412"/>
    </row>
    <row r="15" spans="1:14" ht="12.75" customHeight="1" hidden="1">
      <c r="A15" s="94" t="s">
        <v>982</v>
      </c>
      <c r="B15" s="389">
        <v>28395</v>
      </c>
      <c r="C15" s="389">
        <v>33460</v>
      </c>
      <c r="D15" s="389">
        <v>43107</v>
      </c>
      <c r="E15" s="389">
        <v>60154</v>
      </c>
      <c r="F15" s="398">
        <v>10602</v>
      </c>
      <c r="G15" s="398">
        <v>12789</v>
      </c>
      <c r="H15" s="389">
        <v>3693</v>
      </c>
      <c r="I15" s="389">
        <v>10809</v>
      </c>
      <c r="J15" s="389">
        <v>8841</v>
      </c>
      <c r="K15" s="389">
        <v>22286</v>
      </c>
      <c r="L15" s="389">
        <v>16180</v>
      </c>
      <c r="M15" s="413" t="s">
        <v>331</v>
      </c>
      <c r="N15" s="412"/>
    </row>
    <row r="16" spans="1:14" ht="12.75" customHeight="1" hidden="1">
      <c r="A16" s="94" t="s">
        <v>983</v>
      </c>
      <c r="B16" s="389">
        <v>25697</v>
      </c>
      <c r="C16" s="389">
        <v>32336</v>
      </c>
      <c r="D16" s="389">
        <v>39245</v>
      </c>
      <c r="E16" s="389">
        <v>57030</v>
      </c>
      <c r="F16" s="398">
        <v>9295</v>
      </c>
      <c r="G16" s="398">
        <v>11872</v>
      </c>
      <c r="H16" s="389">
        <v>3977</v>
      </c>
      <c r="I16" s="389">
        <v>10473</v>
      </c>
      <c r="J16" s="389">
        <v>8903</v>
      </c>
      <c r="K16" s="389">
        <v>21731</v>
      </c>
      <c r="L16" s="389">
        <v>15436</v>
      </c>
      <c r="M16" s="413" t="s">
        <v>331</v>
      </c>
      <c r="N16" s="412"/>
    </row>
    <row r="17" spans="1:14" ht="12.75" customHeight="1" hidden="1">
      <c r="A17" s="94" t="s">
        <v>984</v>
      </c>
      <c r="B17" s="389">
        <v>25658</v>
      </c>
      <c r="C17" s="389">
        <v>31734</v>
      </c>
      <c r="D17" s="389">
        <v>40246</v>
      </c>
      <c r="E17" s="389">
        <v>54899</v>
      </c>
      <c r="F17" s="398">
        <v>10573</v>
      </c>
      <c r="G17" s="398">
        <v>13920</v>
      </c>
      <c r="H17" s="389">
        <v>5420</v>
      </c>
      <c r="I17" s="389">
        <v>10596</v>
      </c>
      <c r="J17" s="389">
        <v>9590</v>
      </c>
      <c r="K17" s="389">
        <v>21638</v>
      </c>
      <c r="L17" s="389">
        <v>15383</v>
      </c>
      <c r="M17" s="413" t="s">
        <v>331</v>
      </c>
      <c r="N17" s="412"/>
    </row>
    <row r="18" spans="1:12" ht="12.75" customHeight="1" hidden="1">
      <c r="A18" s="94"/>
      <c r="B18" s="389"/>
      <c r="C18" s="389"/>
      <c r="D18" s="389"/>
      <c r="E18" s="389"/>
      <c r="F18" s="398"/>
      <c r="G18" s="398"/>
      <c r="H18" s="389"/>
      <c r="I18" s="389"/>
      <c r="J18" s="389"/>
      <c r="K18" s="389"/>
      <c r="L18" s="389"/>
    </row>
    <row r="19" spans="1:14" ht="12.75" customHeight="1" hidden="1">
      <c r="A19" s="94">
        <v>1998</v>
      </c>
      <c r="B19" s="97">
        <f aca="true" t="shared" si="1" ref="B19:H19">(B20*31+B21*28+B22*31+B23*30+B24*31+B25*30+B26*31+B27*31+B28*30+B29*31+B30*30+B31*31)/365</f>
        <v>32336.813698630136</v>
      </c>
      <c r="C19" s="97">
        <f t="shared" si="1"/>
        <v>38184.32876712329</v>
      </c>
      <c r="D19" s="97">
        <f t="shared" si="1"/>
        <v>47798.72602739726</v>
      </c>
      <c r="E19" s="97">
        <f t="shared" si="1"/>
        <v>63290.819178082194</v>
      </c>
      <c r="F19" s="97">
        <f t="shared" si="1"/>
        <v>12442.493150684932</v>
      </c>
      <c r="G19" s="97">
        <f t="shared" si="1"/>
        <v>17021.31506849315</v>
      </c>
      <c r="H19" s="97">
        <f t="shared" si="1"/>
        <v>4808.010958904109</v>
      </c>
      <c r="I19" s="97">
        <f>SUM(I20:I31)/12</f>
        <v>10816.583333333334</v>
      </c>
      <c r="J19" s="97">
        <f>SUM(J20:J31)/12</f>
        <v>9377.666666666666</v>
      </c>
      <c r="K19" s="97">
        <f>(K20*31+K21*28+K22*31+K23*30+K24*31+K25*30+K26*31+K27*31+K28*30+K29*31+K30*30+K31*31)/365</f>
        <v>21659.40273972603</v>
      </c>
      <c r="L19" s="97">
        <f>(L20*31+L21*28+L22*31+L23*30+L24*31+L25*30+L26*31+L27*31+L28*30+L29*31+L30*30+L31*31)/365</f>
        <v>21012.090410958903</v>
      </c>
      <c r="M19" s="97">
        <f>(M24*9+M25*30+M26*31+M27*31+M28*30+M29*31+M30*30+M31*31)/(365-31-28-31-30-22)</f>
        <v>10456.973094170404</v>
      </c>
      <c r="N19" s="302"/>
    </row>
    <row r="20" spans="1:14" ht="12.75" customHeight="1" hidden="1">
      <c r="A20" s="94" t="s">
        <v>302</v>
      </c>
      <c r="B20" s="391">
        <v>23122</v>
      </c>
      <c r="C20" s="391">
        <v>29278</v>
      </c>
      <c r="D20" s="391">
        <v>35921</v>
      </c>
      <c r="E20" s="391">
        <v>51862</v>
      </c>
      <c r="F20" s="398">
        <v>8588</v>
      </c>
      <c r="G20" s="398">
        <v>11710</v>
      </c>
      <c r="H20" s="391">
        <v>5339</v>
      </c>
      <c r="I20" s="391">
        <v>9742</v>
      </c>
      <c r="J20" s="391">
        <v>8846</v>
      </c>
      <c r="K20" s="391">
        <v>20066</v>
      </c>
      <c r="L20" s="391">
        <v>14200</v>
      </c>
      <c r="M20" s="413" t="s">
        <v>331</v>
      </c>
      <c r="N20" s="412"/>
    </row>
    <row r="21" spans="1:14" ht="12.75" customHeight="1" hidden="1">
      <c r="A21" s="94" t="s">
        <v>303</v>
      </c>
      <c r="B21" s="389">
        <v>25185</v>
      </c>
      <c r="C21" s="389">
        <v>32159</v>
      </c>
      <c r="D21" s="389">
        <v>40428</v>
      </c>
      <c r="E21" s="389">
        <v>57955</v>
      </c>
      <c r="F21" s="398">
        <v>9442</v>
      </c>
      <c r="G21" s="398">
        <v>12080</v>
      </c>
      <c r="H21" s="389">
        <v>5696</v>
      </c>
      <c r="I21" s="389">
        <v>11172</v>
      </c>
      <c r="J21" s="389">
        <v>10134</v>
      </c>
      <c r="K21" s="389">
        <v>22247</v>
      </c>
      <c r="L21" s="389">
        <v>17020</v>
      </c>
      <c r="M21" s="413" t="s">
        <v>331</v>
      </c>
      <c r="N21" s="412"/>
    </row>
    <row r="22" spans="1:14" ht="12.75" customHeight="1" hidden="1">
      <c r="A22" s="94" t="s">
        <v>304</v>
      </c>
      <c r="B22" s="389">
        <v>27050</v>
      </c>
      <c r="C22" s="389">
        <v>34558</v>
      </c>
      <c r="D22" s="389">
        <v>43126</v>
      </c>
      <c r="E22" s="389">
        <v>59642</v>
      </c>
      <c r="F22" s="398">
        <v>10598</v>
      </c>
      <c r="G22" s="398">
        <v>13298</v>
      </c>
      <c r="H22" s="389">
        <v>4655</v>
      </c>
      <c r="I22" s="389">
        <v>11202</v>
      </c>
      <c r="J22" s="389">
        <v>9387</v>
      </c>
      <c r="K22" s="389">
        <v>22739</v>
      </c>
      <c r="L22" s="389">
        <v>17196</v>
      </c>
      <c r="M22" s="413" t="s">
        <v>331</v>
      </c>
      <c r="N22" s="412"/>
    </row>
    <row r="23" spans="1:14" ht="12.75" customHeight="1" hidden="1">
      <c r="A23" s="94" t="s">
        <v>305</v>
      </c>
      <c r="B23" s="389">
        <v>32652</v>
      </c>
      <c r="C23" s="389">
        <v>37120</v>
      </c>
      <c r="D23" s="389">
        <v>51287</v>
      </c>
      <c r="E23" s="389">
        <v>62792</v>
      </c>
      <c r="F23" s="398">
        <v>13621</v>
      </c>
      <c r="G23" s="398">
        <v>18471</v>
      </c>
      <c r="H23" s="389">
        <v>4631</v>
      </c>
      <c r="I23" s="389">
        <v>10474</v>
      </c>
      <c r="J23" s="389">
        <v>9158</v>
      </c>
      <c r="K23" s="389">
        <v>21197</v>
      </c>
      <c r="L23" s="389">
        <v>18700</v>
      </c>
      <c r="M23" s="413" t="s">
        <v>331</v>
      </c>
      <c r="N23" s="412"/>
    </row>
    <row r="24" spans="1:14" ht="12.75" customHeight="1" hidden="1">
      <c r="A24" s="94" t="s">
        <v>306</v>
      </c>
      <c r="B24" s="389">
        <v>31833</v>
      </c>
      <c r="C24" s="389">
        <v>38513</v>
      </c>
      <c r="D24" s="389">
        <v>45980</v>
      </c>
      <c r="E24" s="389">
        <v>63952</v>
      </c>
      <c r="F24" s="398">
        <v>10727</v>
      </c>
      <c r="G24" s="398">
        <v>14784</v>
      </c>
      <c r="H24" s="389">
        <v>3670</v>
      </c>
      <c r="I24" s="389">
        <v>10681</v>
      </c>
      <c r="J24" s="389">
        <v>8557</v>
      </c>
      <c r="K24" s="389">
        <v>21966</v>
      </c>
      <c r="L24" s="389">
        <v>20493</v>
      </c>
      <c r="M24" s="397">
        <v>10884</v>
      </c>
      <c r="N24" s="396"/>
    </row>
    <row r="25" spans="1:14" ht="12.75" customHeight="1" hidden="1">
      <c r="A25" s="94" t="s">
        <v>978</v>
      </c>
      <c r="B25" s="389">
        <v>33652</v>
      </c>
      <c r="C25" s="389">
        <v>43110</v>
      </c>
      <c r="D25" s="389">
        <v>48458</v>
      </c>
      <c r="E25" s="389">
        <v>65384</v>
      </c>
      <c r="F25" s="398">
        <v>11636</v>
      </c>
      <c r="G25" s="398">
        <v>15307</v>
      </c>
      <c r="H25" s="389">
        <v>3594</v>
      </c>
      <c r="I25" s="389">
        <v>11097</v>
      </c>
      <c r="J25" s="389">
        <v>8647</v>
      </c>
      <c r="K25" s="389">
        <v>22723</v>
      </c>
      <c r="L25" s="389">
        <v>24785</v>
      </c>
      <c r="M25" s="397">
        <v>10146</v>
      </c>
      <c r="N25" s="396"/>
    </row>
    <row r="26" spans="1:14" ht="12.75" customHeight="1" hidden="1">
      <c r="A26" s="94" t="s">
        <v>979</v>
      </c>
      <c r="B26" s="389">
        <v>44967</v>
      </c>
      <c r="C26" s="389">
        <v>50398</v>
      </c>
      <c r="D26" s="389">
        <v>60644</v>
      </c>
      <c r="E26" s="389">
        <v>75451</v>
      </c>
      <c r="F26" s="398">
        <v>16125</v>
      </c>
      <c r="G26" s="398">
        <v>22182</v>
      </c>
      <c r="H26" s="389">
        <v>4574</v>
      </c>
      <c r="I26" s="389">
        <v>11524</v>
      </c>
      <c r="J26" s="389">
        <v>9463</v>
      </c>
      <c r="K26" s="389">
        <v>22579</v>
      </c>
      <c r="L26" s="389">
        <v>29027</v>
      </c>
      <c r="M26" s="397">
        <v>13361</v>
      </c>
      <c r="N26" s="396"/>
    </row>
    <row r="27" spans="1:14" ht="12.75" customHeight="1" hidden="1">
      <c r="A27" s="94" t="s">
        <v>980</v>
      </c>
      <c r="B27" s="389">
        <v>47966</v>
      </c>
      <c r="C27" s="389">
        <v>44854</v>
      </c>
      <c r="D27" s="389">
        <v>67513</v>
      </c>
      <c r="E27" s="389">
        <v>67408</v>
      </c>
      <c r="F27" s="398">
        <v>20822</v>
      </c>
      <c r="G27" s="398">
        <v>32089</v>
      </c>
      <c r="H27" s="389">
        <v>6689</v>
      </c>
      <c r="I27" s="389">
        <v>6732</v>
      </c>
      <c r="J27" s="389">
        <v>8180</v>
      </c>
      <c r="K27" s="389">
        <v>11947</v>
      </c>
      <c r="L27" s="389">
        <v>29190</v>
      </c>
      <c r="M27" s="397">
        <v>15955</v>
      </c>
      <c r="N27" s="396"/>
    </row>
    <row r="28" spans="1:14" ht="12.75" customHeight="1" hidden="1">
      <c r="A28" s="94" t="s">
        <v>981</v>
      </c>
      <c r="B28" s="389">
        <v>34027</v>
      </c>
      <c r="C28" s="389">
        <v>40056</v>
      </c>
      <c r="D28" s="389">
        <v>49817</v>
      </c>
      <c r="E28" s="389">
        <v>65535</v>
      </c>
      <c r="F28" s="398">
        <v>13809</v>
      </c>
      <c r="G28" s="398">
        <v>18246</v>
      </c>
      <c r="H28" s="389">
        <v>4725</v>
      </c>
      <c r="I28" s="389">
        <v>11093</v>
      </c>
      <c r="J28" s="389">
        <v>9759</v>
      </c>
      <c r="K28" s="389">
        <v>21538</v>
      </c>
      <c r="L28" s="389">
        <v>22454</v>
      </c>
      <c r="M28" s="397">
        <v>10059</v>
      </c>
      <c r="N28" s="396"/>
    </row>
    <row r="29" spans="1:14" ht="12.75" customHeight="1" hidden="1">
      <c r="A29" s="94" t="s">
        <v>982</v>
      </c>
      <c r="B29" s="389">
        <v>31019</v>
      </c>
      <c r="C29" s="389">
        <v>37614</v>
      </c>
      <c r="D29" s="389">
        <v>45922</v>
      </c>
      <c r="E29" s="389">
        <v>64931</v>
      </c>
      <c r="F29" s="398">
        <v>12014</v>
      </c>
      <c r="G29" s="398">
        <v>16266</v>
      </c>
      <c r="H29" s="389">
        <v>4458</v>
      </c>
      <c r="I29" s="389">
        <v>12202</v>
      </c>
      <c r="J29" s="389">
        <v>10603</v>
      </c>
      <c r="K29" s="389">
        <v>24160</v>
      </c>
      <c r="L29" s="389">
        <v>20901</v>
      </c>
      <c r="M29" s="397">
        <v>8576</v>
      </c>
      <c r="N29" s="396"/>
    </row>
    <row r="30" spans="1:14" ht="12.75" customHeight="1" hidden="1">
      <c r="A30" s="94" t="s">
        <v>983</v>
      </c>
      <c r="B30" s="389">
        <v>28097</v>
      </c>
      <c r="C30" s="389">
        <v>35556</v>
      </c>
      <c r="D30" s="389">
        <v>42271</v>
      </c>
      <c r="E30" s="389">
        <v>63468</v>
      </c>
      <c r="F30" s="398">
        <v>10408</v>
      </c>
      <c r="G30" s="398">
        <v>13718</v>
      </c>
      <c r="H30" s="389">
        <v>3986</v>
      </c>
      <c r="I30" s="389">
        <v>12211</v>
      </c>
      <c r="J30" s="389">
        <v>9668</v>
      </c>
      <c r="K30" s="389">
        <v>24785</v>
      </c>
      <c r="L30" s="389">
        <v>19047</v>
      </c>
      <c r="M30" s="397">
        <v>7575</v>
      </c>
      <c r="N30" s="396"/>
    </row>
    <row r="31" spans="1:14" ht="12.75" customHeight="1" hidden="1">
      <c r="A31" s="94" t="s">
        <v>984</v>
      </c>
      <c r="B31" s="389">
        <v>27750</v>
      </c>
      <c r="C31" s="389">
        <v>34513</v>
      </c>
      <c r="D31" s="389">
        <v>41525</v>
      </c>
      <c r="E31" s="389">
        <v>60723</v>
      </c>
      <c r="F31" s="398">
        <v>11220</v>
      </c>
      <c r="G31" s="398">
        <v>15551</v>
      </c>
      <c r="H31" s="389">
        <v>5691</v>
      </c>
      <c r="I31" s="389">
        <v>11669</v>
      </c>
      <c r="J31" s="389">
        <v>10130</v>
      </c>
      <c r="K31" s="389">
        <v>24139</v>
      </c>
      <c r="L31" s="389">
        <v>18776</v>
      </c>
      <c r="M31" s="397">
        <v>7287</v>
      </c>
      <c r="N31" s="396"/>
    </row>
    <row r="32" spans="1:14" ht="12.75" customHeight="1" hidden="1">
      <c r="A32" s="94"/>
      <c r="B32" s="389"/>
      <c r="C32" s="389"/>
      <c r="D32" s="389"/>
      <c r="E32" s="389"/>
      <c r="F32" s="398"/>
      <c r="G32" s="398"/>
      <c r="H32" s="389"/>
      <c r="I32" s="389"/>
      <c r="J32" s="389"/>
      <c r="K32" s="389"/>
      <c r="L32" s="389"/>
      <c r="M32" s="397"/>
      <c r="N32" s="396"/>
    </row>
    <row r="33" spans="1:14" ht="12.75" customHeight="1" hidden="1">
      <c r="A33" s="94"/>
      <c r="B33" s="389"/>
      <c r="C33" s="389"/>
      <c r="D33" s="389"/>
      <c r="E33" s="389"/>
      <c r="F33" s="398"/>
      <c r="G33" s="398"/>
      <c r="H33" s="389"/>
      <c r="I33" s="389"/>
      <c r="J33" s="389"/>
      <c r="K33" s="389"/>
      <c r="L33" s="389"/>
      <c r="M33" s="397"/>
      <c r="N33" s="396"/>
    </row>
    <row r="34" spans="1:14" ht="12.75" customHeight="1" hidden="1">
      <c r="A34" s="94">
        <v>1999</v>
      </c>
      <c r="B34" s="97">
        <f aca="true" t="shared" si="2" ref="B34:M34">(B35*31+B36*28+B37*31+B38*30+B39*31+B40*30+B41*31+B42*31+B43*30+B44*31+B45*30+B46*31)/365</f>
        <v>36023.40273972603</v>
      </c>
      <c r="C34" s="97">
        <f t="shared" si="2"/>
        <v>41972.64657534246</v>
      </c>
      <c r="D34" s="97">
        <f t="shared" si="2"/>
        <v>47089.04383561644</v>
      </c>
      <c r="E34" s="97">
        <f t="shared" si="2"/>
        <v>70219.4602739726</v>
      </c>
      <c r="F34" s="97">
        <f t="shared" si="2"/>
        <v>13250.846575342466</v>
      </c>
      <c r="G34" s="97">
        <f t="shared" si="2"/>
        <v>19520.44109589041</v>
      </c>
      <c r="H34" s="97">
        <f t="shared" si="2"/>
        <v>5208.3452054794525</v>
      </c>
      <c r="I34" s="97">
        <f t="shared" si="2"/>
        <v>12138.816438356165</v>
      </c>
      <c r="J34" s="97">
        <f t="shared" si="2"/>
        <v>10471.312328767122</v>
      </c>
      <c r="K34" s="97">
        <f t="shared" si="2"/>
        <v>24332.89589041096</v>
      </c>
      <c r="L34" s="97">
        <f t="shared" si="2"/>
        <v>25705.068493150684</v>
      </c>
      <c r="M34" s="97">
        <f t="shared" si="2"/>
        <v>11797.093150684932</v>
      </c>
      <c r="N34" s="302"/>
    </row>
    <row r="35" spans="1:14" ht="12.75" customHeight="1" hidden="1">
      <c r="A35" s="94" t="s">
        <v>302</v>
      </c>
      <c r="B35" s="391">
        <v>25442</v>
      </c>
      <c r="C35" s="391">
        <v>32125</v>
      </c>
      <c r="D35" s="391">
        <v>34269</v>
      </c>
      <c r="E35" s="391">
        <v>57828</v>
      </c>
      <c r="F35" s="398">
        <v>9048</v>
      </c>
      <c r="G35" s="398">
        <v>13153</v>
      </c>
      <c r="H35" s="391">
        <v>6283</v>
      </c>
      <c r="I35" s="391">
        <v>10382</v>
      </c>
      <c r="J35" s="391">
        <v>9848</v>
      </c>
      <c r="K35" s="391">
        <v>21743</v>
      </c>
      <c r="L35" s="391">
        <v>17732</v>
      </c>
      <c r="M35" s="411">
        <v>6751</v>
      </c>
      <c r="N35" s="409"/>
    </row>
    <row r="36" spans="1:14" ht="12.75" customHeight="1" hidden="1">
      <c r="A36" s="94" t="s">
        <v>303</v>
      </c>
      <c r="B36" s="389">
        <v>27741</v>
      </c>
      <c r="C36" s="389">
        <v>35524</v>
      </c>
      <c r="D36" s="389">
        <v>38363</v>
      </c>
      <c r="E36" s="389">
        <v>64036</v>
      </c>
      <c r="F36" s="398">
        <v>9723</v>
      </c>
      <c r="G36" s="398">
        <v>13747</v>
      </c>
      <c r="H36" s="389">
        <v>5945</v>
      </c>
      <c r="I36" s="389">
        <v>11828</v>
      </c>
      <c r="J36" s="389">
        <v>10430</v>
      </c>
      <c r="K36" s="389">
        <v>24359</v>
      </c>
      <c r="L36" s="389">
        <v>20507</v>
      </c>
      <c r="M36" s="411">
        <v>7959</v>
      </c>
      <c r="N36" s="409"/>
    </row>
    <row r="37" spans="1:14" ht="12.75" customHeight="1" hidden="1">
      <c r="A37" s="94" t="s">
        <v>304</v>
      </c>
      <c r="B37" s="389">
        <v>30630</v>
      </c>
      <c r="C37" s="389">
        <v>38376</v>
      </c>
      <c r="D37" s="389">
        <v>42547</v>
      </c>
      <c r="E37" s="389">
        <v>63711</v>
      </c>
      <c r="F37" s="398">
        <v>11402</v>
      </c>
      <c r="G37" s="398">
        <v>16360</v>
      </c>
      <c r="H37" s="389">
        <v>4949</v>
      </c>
      <c r="I37" s="389">
        <v>12096</v>
      </c>
      <c r="J37" s="389">
        <v>10604</v>
      </c>
      <c r="K37" s="389">
        <v>24916</v>
      </c>
      <c r="L37" s="389">
        <v>21731</v>
      </c>
      <c r="M37" s="411">
        <v>9200</v>
      </c>
      <c r="N37" s="409"/>
    </row>
    <row r="38" spans="1:14" ht="12.75" customHeight="1" hidden="1">
      <c r="A38" s="94" t="s">
        <v>305</v>
      </c>
      <c r="B38" s="389">
        <v>35552</v>
      </c>
      <c r="C38" s="389">
        <v>41520</v>
      </c>
      <c r="D38" s="389">
        <v>48772</v>
      </c>
      <c r="E38" s="389">
        <v>68380</v>
      </c>
      <c r="F38" s="398">
        <v>14027</v>
      </c>
      <c r="G38" s="398">
        <v>20306</v>
      </c>
      <c r="H38" s="389">
        <v>4709</v>
      </c>
      <c r="I38" s="389">
        <v>11504</v>
      </c>
      <c r="J38" s="389">
        <v>9650</v>
      </c>
      <c r="K38" s="389">
        <v>23745</v>
      </c>
      <c r="L38" s="389">
        <v>25046</v>
      </c>
      <c r="M38" s="411">
        <v>11643</v>
      </c>
      <c r="N38" s="409"/>
    </row>
    <row r="39" spans="1:14" ht="12.75" customHeight="1" hidden="1">
      <c r="A39" s="94" t="s">
        <v>306</v>
      </c>
      <c r="B39" s="389">
        <v>36469</v>
      </c>
      <c r="C39" s="389">
        <v>43934</v>
      </c>
      <c r="D39" s="389">
        <v>46729</v>
      </c>
      <c r="E39" s="389">
        <v>73190</v>
      </c>
      <c r="F39" s="398">
        <v>11654</v>
      </c>
      <c r="G39" s="398">
        <v>17472</v>
      </c>
      <c r="H39" s="389">
        <v>3899</v>
      </c>
      <c r="I39" s="389">
        <v>12046</v>
      </c>
      <c r="J39" s="389">
        <v>9267</v>
      </c>
      <c r="K39" s="389">
        <v>24840</v>
      </c>
      <c r="L39" s="389">
        <v>26578</v>
      </c>
      <c r="M39" s="397">
        <v>11761</v>
      </c>
      <c r="N39" s="396"/>
    </row>
    <row r="40" spans="1:14" ht="12.75" customHeight="1" hidden="1">
      <c r="A40" s="94" t="s">
        <v>978</v>
      </c>
      <c r="B40" s="389">
        <v>37324</v>
      </c>
      <c r="C40" s="389">
        <v>46400</v>
      </c>
      <c r="D40" s="389">
        <v>48008</v>
      </c>
      <c r="E40" s="389">
        <v>74765</v>
      </c>
      <c r="F40" s="398">
        <v>12538</v>
      </c>
      <c r="G40" s="398">
        <v>18103</v>
      </c>
      <c r="H40" s="389">
        <v>3918</v>
      </c>
      <c r="I40" s="389">
        <v>12112</v>
      </c>
      <c r="J40" s="389">
        <v>9154</v>
      </c>
      <c r="K40" s="389">
        <v>25174</v>
      </c>
      <c r="L40" s="389">
        <v>28318</v>
      </c>
      <c r="M40" s="397">
        <v>12834</v>
      </c>
      <c r="N40" s="396"/>
    </row>
    <row r="41" spans="1:14" ht="12.75" customHeight="1" hidden="1">
      <c r="A41" s="94" t="s">
        <v>979</v>
      </c>
      <c r="B41" s="389">
        <v>50800</v>
      </c>
      <c r="C41" s="389">
        <v>54697</v>
      </c>
      <c r="D41" s="389">
        <v>61663</v>
      </c>
      <c r="E41" s="389">
        <v>85273</v>
      </c>
      <c r="F41" s="398">
        <v>17553</v>
      </c>
      <c r="G41" s="398">
        <v>26420</v>
      </c>
      <c r="H41" s="389">
        <v>4936</v>
      </c>
      <c r="I41" s="389">
        <v>12636</v>
      </c>
      <c r="J41" s="389">
        <v>10299</v>
      </c>
      <c r="K41" s="389">
        <v>25659</v>
      </c>
      <c r="L41" s="389">
        <v>33902</v>
      </c>
      <c r="M41" s="397">
        <v>16889</v>
      </c>
      <c r="N41" s="396"/>
    </row>
    <row r="42" spans="1:14" ht="12.75" customHeight="1" hidden="1">
      <c r="A42" s="94" t="s">
        <v>980</v>
      </c>
      <c r="B42" s="389">
        <v>51435</v>
      </c>
      <c r="C42" s="389">
        <v>48548</v>
      </c>
      <c r="D42" s="389">
        <v>67252</v>
      </c>
      <c r="E42" s="389">
        <v>72119</v>
      </c>
      <c r="F42" s="398">
        <v>21355</v>
      </c>
      <c r="G42" s="398">
        <v>34826</v>
      </c>
      <c r="H42" s="389">
        <v>6955</v>
      </c>
      <c r="I42" s="389">
        <v>7970</v>
      </c>
      <c r="J42" s="389">
        <v>9425</v>
      </c>
      <c r="K42" s="389">
        <v>13603</v>
      </c>
      <c r="L42" s="389">
        <v>33640</v>
      </c>
      <c r="M42" s="397">
        <v>19250</v>
      </c>
      <c r="N42" s="396"/>
    </row>
    <row r="43" spans="1:14" ht="12.75" customHeight="1" hidden="1">
      <c r="A43" s="94" t="s">
        <v>981</v>
      </c>
      <c r="B43" s="389">
        <v>38401</v>
      </c>
      <c r="C43" s="389">
        <v>44442</v>
      </c>
      <c r="D43" s="389">
        <v>49851</v>
      </c>
      <c r="E43" s="389">
        <v>74232</v>
      </c>
      <c r="F43" s="398">
        <v>14617</v>
      </c>
      <c r="G43" s="398">
        <v>21001</v>
      </c>
      <c r="H43" s="389">
        <v>4968</v>
      </c>
      <c r="I43" s="389">
        <v>13364</v>
      </c>
      <c r="J43" s="389">
        <v>11452</v>
      </c>
      <c r="K43" s="389">
        <v>25867</v>
      </c>
      <c r="L43" s="389">
        <v>27827</v>
      </c>
      <c r="M43" s="397">
        <v>13480</v>
      </c>
      <c r="N43" s="396"/>
    </row>
    <row r="44" spans="1:14" ht="12.75" customHeight="1" hidden="1">
      <c r="A44" s="94" t="s">
        <v>982</v>
      </c>
      <c r="B44" s="389">
        <v>35062</v>
      </c>
      <c r="C44" s="389">
        <v>41163</v>
      </c>
      <c r="D44" s="389">
        <v>45288</v>
      </c>
      <c r="E44" s="389">
        <v>72083</v>
      </c>
      <c r="F44" s="398">
        <v>13217</v>
      </c>
      <c r="G44" s="398">
        <v>18576</v>
      </c>
      <c r="H44" s="389">
        <v>5091</v>
      </c>
      <c r="I44" s="389">
        <v>13749</v>
      </c>
      <c r="J44" s="389">
        <v>12239</v>
      </c>
      <c r="K44" s="389">
        <v>26933</v>
      </c>
      <c r="L44" s="389">
        <v>25863</v>
      </c>
      <c r="M44" s="397">
        <v>11431</v>
      </c>
      <c r="N44" s="396"/>
    </row>
    <row r="45" spans="1:14" ht="12.75" customHeight="1" hidden="1">
      <c r="A45" s="94" t="s">
        <v>983</v>
      </c>
      <c r="B45" s="389">
        <v>31195</v>
      </c>
      <c r="C45" s="389">
        <v>38514</v>
      </c>
      <c r="D45" s="389">
        <v>39801</v>
      </c>
      <c r="E45" s="389">
        <v>69511</v>
      </c>
      <c r="F45" s="398">
        <v>10930</v>
      </c>
      <c r="G45" s="398">
        <v>15771</v>
      </c>
      <c r="H45" s="389">
        <v>4342</v>
      </c>
      <c r="I45" s="389">
        <v>14374</v>
      </c>
      <c r="J45" s="389">
        <v>11203</v>
      </c>
      <c r="K45" s="389">
        <v>28365</v>
      </c>
      <c r="L45" s="389">
        <v>23217</v>
      </c>
      <c r="M45" s="397">
        <v>9892</v>
      </c>
      <c r="N45" s="396"/>
    </row>
    <row r="46" spans="1:14" ht="12.75" customHeight="1" hidden="1">
      <c r="A46" s="94" t="s">
        <v>984</v>
      </c>
      <c r="B46" s="389">
        <v>31376</v>
      </c>
      <c r="C46" s="389">
        <v>37901</v>
      </c>
      <c r="D46" s="389">
        <v>41619</v>
      </c>
      <c r="E46" s="389">
        <v>67101</v>
      </c>
      <c r="F46" s="398">
        <v>12576</v>
      </c>
      <c r="G46" s="398">
        <v>17858</v>
      </c>
      <c r="H46" s="389">
        <v>6483</v>
      </c>
      <c r="I46" s="389">
        <v>13665</v>
      </c>
      <c r="J46" s="389">
        <v>12067</v>
      </c>
      <c r="K46" s="389">
        <v>26981</v>
      </c>
      <c r="L46" s="389">
        <v>23648</v>
      </c>
      <c r="M46" s="397">
        <v>10125</v>
      </c>
      <c r="N46" s="396"/>
    </row>
    <row r="47" spans="1:14" ht="12.75" customHeight="1" hidden="1">
      <c r="A47" s="94"/>
      <c r="B47" s="389"/>
      <c r="C47" s="389"/>
      <c r="D47" s="389"/>
      <c r="E47" s="389"/>
      <c r="F47" s="398"/>
      <c r="G47" s="398"/>
      <c r="H47" s="389"/>
      <c r="I47" s="389"/>
      <c r="J47" s="389"/>
      <c r="K47" s="389"/>
      <c r="L47" s="389"/>
      <c r="M47" s="397"/>
      <c r="N47" s="396"/>
    </row>
    <row r="48" spans="1:14" ht="12.75" customHeight="1" hidden="1">
      <c r="A48" s="94">
        <v>2000</v>
      </c>
      <c r="B48" s="97">
        <f aca="true" t="shared" si="3" ref="B48:M48">(B49*31+B50*29+B51*31+B52*30+B53*31+B54*30+B55*31+B56*31+B57*30+B58*31+B59*30+B60*31)/366</f>
        <v>38281.734125908864</v>
      </c>
      <c r="C48" s="97">
        <f t="shared" si="3"/>
        <v>44744.56010928962</v>
      </c>
      <c r="D48" s="97">
        <f t="shared" si="3"/>
        <v>51278.54918032787</v>
      </c>
      <c r="E48" s="97">
        <f t="shared" si="3"/>
        <v>83935.37158469946</v>
      </c>
      <c r="F48" s="97">
        <f t="shared" si="3"/>
        <v>14869.942622950819</v>
      </c>
      <c r="G48" s="97">
        <f t="shared" si="3"/>
        <v>21117.939890710382</v>
      </c>
      <c r="H48" s="97">
        <f t="shared" si="3"/>
        <v>5379.087431693989</v>
      </c>
      <c r="I48" s="97">
        <f t="shared" si="3"/>
        <v>14349.092896174863</v>
      </c>
      <c r="J48" s="97">
        <f t="shared" si="3"/>
        <v>12782.61475409836</v>
      </c>
      <c r="K48" s="97">
        <f t="shared" si="3"/>
        <v>28013.05737704918</v>
      </c>
      <c r="L48" s="97">
        <f t="shared" si="3"/>
        <v>29797.265027322403</v>
      </c>
      <c r="M48" s="97">
        <f t="shared" si="3"/>
        <v>14291.814207650274</v>
      </c>
      <c r="N48" s="302"/>
    </row>
    <row r="49" spans="1:14" ht="12.75" customHeight="1" hidden="1">
      <c r="A49" s="94" t="s">
        <v>302</v>
      </c>
      <c r="B49" s="153">
        <f>(135.98*26309+14.06*53765)/(135.98+14.06)</f>
        <v>28881.856304985336</v>
      </c>
      <c r="C49" s="391">
        <v>36184</v>
      </c>
      <c r="D49" s="391">
        <v>37510</v>
      </c>
      <c r="E49" s="391">
        <v>68357</v>
      </c>
      <c r="F49" s="398">
        <v>9999</v>
      </c>
      <c r="G49" s="154">
        <v>14882</v>
      </c>
      <c r="H49" s="391">
        <v>6129</v>
      </c>
      <c r="I49" s="391">
        <v>12754</v>
      </c>
      <c r="J49" s="391">
        <v>11143</v>
      </c>
      <c r="K49" s="391">
        <v>25529</v>
      </c>
      <c r="L49" s="391">
        <v>22330</v>
      </c>
      <c r="M49" s="411">
        <v>9266</v>
      </c>
      <c r="N49" s="409"/>
    </row>
    <row r="50" spans="1:14" ht="12.75" customHeight="1" hidden="1">
      <c r="A50" s="94" t="s">
        <v>303</v>
      </c>
      <c r="B50" s="153">
        <f>(135.98*28654+14.06*59992)/(135.98+14.06)</f>
        <v>31590.63209810717</v>
      </c>
      <c r="C50" s="389">
        <v>40358</v>
      </c>
      <c r="D50" s="389">
        <v>42458</v>
      </c>
      <c r="E50" s="389">
        <v>79461</v>
      </c>
      <c r="F50" s="398">
        <v>10704</v>
      </c>
      <c r="G50" s="154">
        <v>15412</v>
      </c>
      <c r="H50" s="389">
        <v>6021</v>
      </c>
      <c r="I50" s="389">
        <v>14912</v>
      </c>
      <c r="J50" s="389">
        <v>12387</v>
      </c>
      <c r="K50" s="389">
        <v>29001</v>
      </c>
      <c r="L50" s="389">
        <v>25151</v>
      </c>
      <c r="M50" s="411">
        <v>10889</v>
      </c>
      <c r="N50" s="409"/>
    </row>
    <row r="51" spans="1:14" ht="12.75" customHeight="1" hidden="1">
      <c r="A51" s="94" t="s">
        <v>304</v>
      </c>
      <c r="B51" s="153">
        <f>(135.98*30505+14.06*62749)/(135.98+14.06)</f>
        <v>33526.531858171154</v>
      </c>
      <c r="C51" s="389">
        <v>42103</v>
      </c>
      <c r="D51" s="389">
        <v>46219</v>
      </c>
      <c r="E51" s="389">
        <v>82585</v>
      </c>
      <c r="F51" s="398">
        <v>12067</v>
      </c>
      <c r="G51" s="154">
        <v>17544</v>
      </c>
      <c r="H51" s="389">
        <v>4802</v>
      </c>
      <c r="I51" s="389">
        <v>15386</v>
      </c>
      <c r="J51" s="389">
        <v>11824</v>
      </c>
      <c r="K51" s="389">
        <v>30247</v>
      </c>
      <c r="L51" s="389">
        <v>27762</v>
      </c>
      <c r="M51" s="411">
        <v>12162</v>
      </c>
      <c r="N51" s="409"/>
    </row>
    <row r="52" spans="1:14" ht="12.75" customHeight="1" hidden="1">
      <c r="A52" s="94" t="s">
        <v>305</v>
      </c>
      <c r="B52" s="153">
        <f>(135.98*37829+14.06*61160)/(135.98+14.06)</f>
        <v>40015.30938416422</v>
      </c>
      <c r="C52" s="389">
        <v>44950</v>
      </c>
      <c r="D52" s="389">
        <v>55423</v>
      </c>
      <c r="E52" s="389">
        <v>84743</v>
      </c>
      <c r="F52" s="398">
        <v>16358</v>
      </c>
      <c r="G52" s="154">
        <v>23768</v>
      </c>
      <c r="H52" s="389">
        <v>5751</v>
      </c>
      <c r="I52" s="389">
        <v>13607</v>
      </c>
      <c r="J52" s="389">
        <v>11751</v>
      </c>
      <c r="K52" s="389">
        <v>26256</v>
      </c>
      <c r="L52" s="389">
        <v>30140</v>
      </c>
      <c r="M52" s="411">
        <v>14919</v>
      </c>
      <c r="N52" s="409"/>
    </row>
    <row r="53" spans="1:14" ht="12.75" customHeight="1" hidden="1">
      <c r="A53" s="94" t="s">
        <v>306</v>
      </c>
      <c r="B53" s="153">
        <f>(135.98*34225+14.06*64037)/(135.98+14.06)</f>
        <v>37018.63316448947</v>
      </c>
      <c r="C53" s="389">
        <v>45243</v>
      </c>
      <c r="D53" s="389">
        <v>48013</v>
      </c>
      <c r="E53" s="389">
        <v>87096</v>
      </c>
      <c r="F53" s="398">
        <v>12383</v>
      </c>
      <c r="G53" s="154">
        <v>18637</v>
      </c>
      <c r="H53" s="389">
        <v>3867</v>
      </c>
      <c r="I53" s="389">
        <v>15139</v>
      </c>
      <c r="J53" s="389">
        <v>10977</v>
      </c>
      <c r="K53" s="389">
        <v>30451</v>
      </c>
      <c r="L53" s="389">
        <v>28725</v>
      </c>
      <c r="M53" s="397">
        <v>13069</v>
      </c>
      <c r="N53" s="396"/>
    </row>
    <row r="54" spans="1:14" ht="12.75" customHeight="1" hidden="1">
      <c r="A54" s="94" t="s">
        <v>978</v>
      </c>
      <c r="B54" s="153">
        <f>(135.98*38384+14.06*66324)/(135.98+14.06)</f>
        <v>41002.211143695014</v>
      </c>
      <c r="C54" s="389">
        <v>49882</v>
      </c>
      <c r="D54" s="389">
        <v>54856</v>
      </c>
      <c r="E54" s="389">
        <v>90025</v>
      </c>
      <c r="F54" s="398">
        <v>15639</v>
      </c>
      <c r="G54" s="154">
        <v>19933</v>
      </c>
      <c r="H54" s="389">
        <v>4481</v>
      </c>
      <c r="I54" s="389">
        <v>16039</v>
      </c>
      <c r="J54" s="389">
        <v>14375</v>
      </c>
      <c r="K54" s="389">
        <v>30810</v>
      </c>
      <c r="L54" s="389">
        <v>32806</v>
      </c>
      <c r="M54" s="397">
        <v>16007</v>
      </c>
      <c r="N54" s="396"/>
    </row>
    <row r="55" spans="1:14" ht="12.75" customHeight="1" hidden="1">
      <c r="A55" s="94" t="s">
        <v>979</v>
      </c>
      <c r="B55" s="153">
        <f>(135.98*51739+14.06*68124)/(135.98+14.06)</f>
        <v>53274.41122367369</v>
      </c>
      <c r="C55" s="389">
        <v>56659</v>
      </c>
      <c r="D55" s="389">
        <v>67449</v>
      </c>
      <c r="E55" s="389">
        <v>99102</v>
      </c>
      <c r="F55" s="398">
        <v>20770</v>
      </c>
      <c r="G55" s="154">
        <v>28267</v>
      </c>
      <c r="H55" s="389">
        <v>5511</v>
      </c>
      <c r="I55" s="389">
        <v>14810</v>
      </c>
      <c r="J55" s="389">
        <v>15077</v>
      </c>
      <c r="K55" s="389">
        <v>29028</v>
      </c>
      <c r="L55" s="389">
        <v>39650</v>
      </c>
      <c r="M55" s="397">
        <v>20299</v>
      </c>
      <c r="N55" s="396"/>
    </row>
    <row r="56" spans="1:14" ht="12.75" customHeight="1" hidden="1">
      <c r="A56" s="94" t="s">
        <v>980</v>
      </c>
      <c r="B56" s="153">
        <f>(135.98*53286+14.06*53481)/(135.98+14.06)</f>
        <v>53304.27312716609</v>
      </c>
      <c r="C56" s="389">
        <v>51309</v>
      </c>
      <c r="D56" s="389">
        <v>72284</v>
      </c>
      <c r="E56" s="389">
        <v>84177</v>
      </c>
      <c r="F56" s="398">
        <v>24413</v>
      </c>
      <c r="G56" s="154">
        <v>36823</v>
      </c>
      <c r="H56" s="389">
        <v>7081</v>
      </c>
      <c r="I56" s="389">
        <v>9219</v>
      </c>
      <c r="J56" s="389">
        <v>12340</v>
      </c>
      <c r="K56" s="389">
        <v>15855</v>
      </c>
      <c r="L56" s="389">
        <v>38181</v>
      </c>
      <c r="M56" s="397">
        <v>22063</v>
      </c>
      <c r="N56" s="396"/>
    </row>
    <row r="57" spans="1:14" ht="12.75" customHeight="1" hidden="1">
      <c r="A57" s="94" t="s">
        <v>981</v>
      </c>
      <c r="B57" s="153">
        <f>(135.98*38695+14.06*60416)/(135.98+14.06)</f>
        <v>40730.43894961344</v>
      </c>
      <c r="C57" s="389">
        <v>47214</v>
      </c>
      <c r="D57" s="389">
        <v>56043</v>
      </c>
      <c r="E57" s="389">
        <v>88870</v>
      </c>
      <c r="F57" s="398">
        <v>17916</v>
      </c>
      <c r="G57" s="154">
        <v>23278</v>
      </c>
      <c r="H57" s="389">
        <v>5394</v>
      </c>
      <c r="I57" s="389">
        <v>14710</v>
      </c>
      <c r="J57" s="389">
        <v>14800</v>
      </c>
      <c r="K57" s="389">
        <v>28639</v>
      </c>
      <c r="L57" s="389">
        <v>31853</v>
      </c>
      <c r="M57" s="397">
        <v>16156</v>
      </c>
      <c r="N57" s="396"/>
    </row>
    <row r="58" spans="1:14" ht="12.75" customHeight="1" hidden="1">
      <c r="A58" s="94" t="s">
        <v>982</v>
      </c>
      <c r="B58" s="153">
        <f>(135.98*31771+14.06*60998)/(135.98+14.06)</f>
        <v>34509.8137829912</v>
      </c>
      <c r="C58" s="389">
        <v>42029</v>
      </c>
      <c r="D58" s="389">
        <v>46773</v>
      </c>
      <c r="E58" s="389">
        <v>81336</v>
      </c>
      <c r="F58" s="398">
        <v>13524</v>
      </c>
      <c r="G58" s="154">
        <v>18908</v>
      </c>
      <c r="H58" s="389">
        <v>4816</v>
      </c>
      <c r="I58" s="389">
        <v>15414</v>
      </c>
      <c r="J58" s="389">
        <v>13480</v>
      </c>
      <c r="K58" s="389">
        <v>30241</v>
      </c>
      <c r="L58" s="389">
        <v>27903</v>
      </c>
      <c r="M58" s="397">
        <v>12814</v>
      </c>
      <c r="N58" s="396"/>
    </row>
    <row r="59" spans="1:14" ht="12.75" customHeight="1" hidden="1">
      <c r="A59" s="94" t="s">
        <v>983</v>
      </c>
      <c r="B59" s="153">
        <f>(135.98*29875+14.06*61111)/(135.98+14.06)</f>
        <v>32802.07384697413</v>
      </c>
      <c r="C59" s="389">
        <v>41033</v>
      </c>
      <c r="D59" s="389">
        <v>43364</v>
      </c>
      <c r="E59" s="389">
        <v>83177</v>
      </c>
      <c r="F59" s="398">
        <v>11224</v>
      </c>
      <c r="G59" s="154">
        <v>16527</v>
      </c>
      <c r="H59" s="389">
        <v>4481</v>
      </c>
      <c r="I59" s="389">
        <v>16158</v>
      </c>
      <c r="J59" s="389">
        <v>12689</v>
      </c>
      <c r="K59" s="389">
        <v>31883</v>
      </c>
      <c r="L59" s="389">
        <v>26361</v>
      </c>
      <c r="M59" s="397">
        <v>11783</v>
      </c>
      <c r="N59" s="396"/>
    </row>
    <row r="60" spans="1:14" ht="12.75" customHeight="1" hidden="1">
      <c r="A60" s="94" t="s">
        <v>984</v>
      </c>
      <c r="B60" s="153">
        <f>(135.98*29745+14.06*57425)/(135.98+14.06)</f>
        <v>32338.84697414023</v>
      </c>
      <c r="C60" s="389">
        <v>39820</v>
      </c>
      <c r="D60" s="389">
        <v>44529</v>
      </c>
      <c r="E60" s="389">
        <v>78364</v>
      </c>
      <c r="F60" s="398">
        <v>13227</v>
      </c>
      <c r="G60" s="154">
        <v>19037</v>
      </c>
      <c r="H60" s="389">
        <v>6211</v>
      </c>
      <c r="I60" s="389">
        <v>14178</v>
      </c>
      <c r="J60" s="389">
        <v>12603</v>
      </c>
      <c r="K60" s="389">
        <v>28459</v>
      </c>
      <c r="L60" s="389">
        <v>26469</v>
      </c>
      <c r="M60" s="397">
        <v>11910</v>
      </c>
      <c r="N60" s="396"/>
    </row>
    <row r="61" spans="1:14" ht="12.75" customHeight="1" hidden="1">
      <c r="A61" s="94"/>
      <c r="B61" s="153"/>
      <c r="C61" s="389"/>
      <c r="D61" s="389"/>
      <c r="E61" s="389"/>
      <c r="F61" s="398"/>
      <c r="G61" s="154"/>
      <c r="H61" s="389"/>
      <c r="I61" s="389"/>
      <c r="J61" s="389"/>
      <c r="K61" s="389"/>
      <c r="L61" s="389"/>
      <c r="M61" s="397"/>
      <c r="N61" s="396"/>
    </row>
    <row r="62" spans="1:14" ht="12.75" customHeight="1" hidden="1">
      <c r="A62" s="94">
        <v>2001</v>
      </c>
      <c r="B62" s="97">
        <f aca="true" t="shared" si="4" ref="B62:M62">(B63*31+B64*28+B65*31+B66*30+B67*31+B68*30+B69*31+B70*31+B71*30+B72*31+B73*30+B74*31)/365</f>
        <v>40280.16455703137</v>
      </c>
      <c r="C62" s="97">
        <f t="shared" si="4"/>
        <v>46825.60547945205</v>
      </c>
      <c r="D62" s="97">
        <f t="shared" si="4"/>
        <v>53720.520547945205</v>
      </c>
      <c r="E62" s="97">
        <f t="shared" si="4"/>
        <v>90217.97260273973</v>
      </c>
      <c r="F62" s="97">
        <f t="shared" si="4"/>
        <v>15106.679452054794</v>
      </c>
      <c r="G62" s="158">
        <f t="shared" si="4"/>
        <v>22744.013698630137</v>
      </c>
      <c r="H62" s="97">
        <f t="shared" si="4"/>
        <v>5660.002739726027</v>
      </c>
      <c r="I62" s="97">
        <f t="shared" si="4"/>
        <v>15786.386301369863</v>
      </c>
      <c r="J62" s="97">
        <f t="shared" si="4"/>
        <v>13126.356164383562</v>
      </c>
      <c r="K62" s="97">
        <f t="shared" si="4"/>
        <v>29675.224657534247</v>
      </c>
      <c r="L62" s="97">
        <f t="shared" si="4"/>
        <v>32903.5698630137</v>
      </c>
      <c r="M62" s="97">
        <f t="shared" si="4"/>
        <v>16192.408219178082</v>
      </c>
      <c r="N62" s="302"/>
    </row>
    <row r="63" spans="1:14" ht="12.75" customHeight="1" hidden="1">
      <c r="A63" s="94" t="s">
        <v>302</v>
      </c>
      <c r="B63" s="391">
        <f>((14.06*57861+135.98*28114)/(14.06+135.98))</f>
        <v>30901.542122100775</v>
      </c>
      <c r="C63" s="391">
        <v>38619</v>
      </c>
      <c r="D63" s="391">
        <v>41673</v>
      </c>
      <c r="E63" s="391">
        <v>79169</v>
      </c>
      <c r="F63" s="398">
        <v>10868</v>
      </c>
      <c r="G63" s="154">
        <v>16391</v>
      </c>
      <c r="H63" s="391">
        <v>6224</v>
      </c>
      <c r="I63" s="391">
        <v>15524</v>
      </c>
      <c r="J63" s="391">
        <v>13309</v>
      </c>
      <c r="K63" s="391">
        <v>30118</v>
      </c>
      <c r="L63" s="391">
        <v>24966</v>
      </c>
      <c r="M63" s="411">
        <v>11067</v>
      </c>
      <c r="N63" s="409"/>
    </row>
    <row r="64" spans="1:14" ht="12.75" customHeight="1" hidden="1">
      <c r="A64" s="94" t="s">
        <v>303</v>
      </c>
      <c r="B64" s="391">
        <f>((14.06*62119+135.98*30008)/(14.06+135.98))</f>
        <v>33017.06864836044</v>
      </c>
      <c r="C64" s="389">
        <v>41417</v>
      </c>
      <c r="D64" s="389">
        <v>45681</v>
      </c>
      <c r="E64" s="389">
        <v>84915</v>
      </c>
      <c r="F64" s="398">
        <v>11739</v>
      </c>
      <c r="G64" s="154">
        <v>16980</v>
      </c>
      <c r="H64" s="389">
        <v>6931</v>
      </c>
      <c r="I64" s="389">
        <v>16746</v>
      </c>
      <c r="J64" s="389">
        <v>14763</v>
      </c>
      <c r="K64" s="389">
        <v>31396</v>
      </c>
      <c r="L64" s="389">
        <v>28792</v>
      </c>
      <c r="M64" s="411">
        <v>12932</v>
      </c>
      <c r="N64" s="409"/>
    </row>
    <row r="65" spans="1:14" ht="12.75" customHeight="1" hidden="1">
      <c r="A65" s="94" t="s">
        <v>304</v>
      </c>
      <c r="B65" s="391">
        <f>((14.06*64365+135.98*32178)/(14.06+135.98))</f>
        <v>35194.19048253799</v>
      </c>
      <c r="C65" s="389">
        <v>44719</v>
      </c>
      <c r="D65" s="389">
        <v>48805</v>
      </c>
      <c r="E65" s="389">
        <v>90736</v>
      </c>
      <c r="F65" s="398">
        <v>12406</v>
      </c>
      <c r="G65" s="154">
        <v>18782</v>
      </c>
      <c r="H65" s="389">
        <v>5512</v>
      </c>
      <c r="I65" s="389">
        <v>16992</v>
      </c>
      <c r="J65" s="389">
        <v>13722</v>
      </c>
      <c r="K65" s="389">
        <v>32333</v>
      </c>
      <c r="L65" s="389">
        <v>30170</v>
      </c>
      <c r="M65" s="411">
        <v>13941</v>
      </c>
      <c r="N65" s="409"/>
    </row>
    <row r="66" spans="1:14" ht="12.75" customHeight="1" hidden="1">
      <c r="A66" s="94" t="s">
        <v>305</v>
      </c>
      <c r="B66" s="391">
        <f>((14.06*64148+135.98*39791)/(14.06+135.98))</f>
        <v>42073.45414556118</v>
      </c>
      <c r="C66" s="389">
        <v>47509</v>
      </c>
      <c r="D66" s="389">
        <v>58411</v>
      </c>
      <c r="E66" s="389">
        <v>92024</v>
      </c>
      <c r="F66" s="398">
        <v>17784</v>
      </c>
      <c r="G66" s="154">
        <v>25337</v>
      </c>
      <c r="H66" s="389">
        <v>5402</v>
      </c>
      <c r="I66" s="389">
        <v>14899</v>
      </c>
      <c r="J66" s="389">
        <v>12848</v>
      </c>
      <c r="K66" s="389">
        <v>28056</v>
      </c>
      <c r="L66" s="389">
        <v>34591</v>
      </c>
      <c r="M66" s="411">
        <v>17843</v>
      </c>
      <c r="N66" s="409"/>
    </row>
    <row r="67" spans="1:14" ht="12.75" customHeight="1" hidden="1">
      <c r="A67" s="94" t="s">
        <v>306</v>
      </c>
      <c r="B67" s="391">
        <f>((14.06*64841+135.98*35393)/(14.06+135.98))</f>
        <v>38152.52332711277</v>
      </c>
      <c r="C67" s="389">
        <v>46702</v>
      </c>
      <c r="D67" s="389">
        <v>49910</v>
      </c>
      <c r="E67" s="389">
        <v>93035</v>
      </c>
      <c r="F67" s="398">
        <v>12690</v>
      </c>
      <c r="G67" s="154">
        <v>19476</v>
      </c>
      <c r="H67" s="389">
        <v>3932</v>
      </c>
      <c r="I67" s="389">
        <v>16531</v>
      </c>
      <c r="J67" s="389">
        <v>12140</v>
      </c>
      <c r="K67" s="389">
        <v>31830</v>
      </c>
      <c r="L67" s="389">
        <v>31552</v>
      </c>
      <c r="M67" s="397">
        <v>14768</v>
      </c>
      <c r="N67" s="396"/>
    </row>
    <row r="68" spans="1:14" ht="12.75" customHeight="1" hidden="1">
      <c r="A68" s="94" t="s">
        <v>978</v>
      </c>
      <c r="B68" s="391">
        <f>((14.06*68121+135.98*40823)/(14.06+135.98))</f>
        <v>43381.050386563584</v>
      </c>
      <c r="C68" s="389">
        <v>52943</v>
      </c>
      <c r="D68" s="389">
        <v>56200</v>
      </c>
      <c r="E68" s="389">
        <v>97422</v>
      </c>
      <c r="F68" s="398">
        <v>15095</v>
      </c>
      <c r="G68" s="154">
        <v>21559</v>
      </c>
      <c r="H68" s="389">
        <v>4595</v>
      </c>
      <c r="I68" s="389">
        <v>16710</v>
      </c>
      <c r="J68" s="389">
        <v>12878</v>
      </c>
      <c r="K68" s="389">
        <v>31859</v>
      </c>
      <c r="L68" s="389">
        <v>37559</v>
      </c>
      <c r="M68" s="397">
        <v>18366</v>
      </c>
      <c r="N68" s="396"/>
    </row>
    <row r="69" spans="1:14" ht="12.75" customHeight="1" hidden="1">
      <c r="A69" s="94" t="s">
        <v>979</v>
      </c>
      <c r="B69" s="391">
        <f>((14.06*72332+135.98*53385)/(14.06+135.98))</f>
        <v>55160.49200213276</v>
      </c>
      <c r="C69" s="389">
        <v>58732</v>
      </c>
      <c r="D69" s="389">
        <v>68149</v>
      </c>
      <c r="E69" s="389">
        <v>104726</v>
      </c>
      <c r="F69" s="398">
        <v>19327</v>
      </c>
      <c r="G69" s="154">
        <v>30058</v>
      </c>
      <c r="H69" s="389">
        <v>5538</v>
      </c>
      <c r="I69" s="389">
        <v>16429</v>
      </c>
      <c r="J69" s="389">
        <v>13150</v>
      </c>
      <c r="K69" s="389">
        <v>30388</v>
      </c>
      <c r="L69" s="389">
        <v>42902</v>
      </c>
      <c r="M69" s="397">
        <v>21991</v>
      </c>
      <c r="N69" s="396"/>
    </row>
    <row r="70" spans="1:14" ht="12.75" customHeight="1" hidden="1">
      <c r="A70" s="94" t="s">
        <v>980</v>
      </c>
      <c r="B70" s="391">
        <f>((14.06*55297+135.98*56748)/(14.06+135.98))</f>
        <v>56612.02919221541</v>
      </c>
      <c r="C70" s="389">
        <v>53570</v>
      </c>
      <c r="D70" s="389">
        <v>75756</v>
      </c>
      <c r="E70" s="389">
        <v>91627</v>
      </c>
      <c r="F70" s="398">
        <v>23977</v>
      </c>
      <c r="G70" s="154">
        <v>39766</v>
      </c>
      <c r="H70" s="389">
        <v>7452</v>
      </c>
      <c r="I70" s="389">
        <v>10541</v>
      </c>
      <c r="J70" s="389">
        <v>11071</v>
      </c>
      <c r="K70" s="389">
        <v>17340</v>
      </c>
      <c r="L70" s="389">
        <v>41368</v>
      </c>
      <c r="M70" s="397">
        <v>24349</v>
      </c>
      <c r="N70" s="396"/>
    </row>
    <row r="71" spans="1:14" ht="12.75" customHeight="1" hidden="1">
      <c r="A71" s="94" t="s">
        <v>981</v>
      </c>
      <c r="B71" s="391">
        <f>((14.06*62200+135.98*40222)/(14.06+135.98))</f>
        <v>42281.5219941349</v>
      </c>
      <c r="C71" s="389">
        <v>47760</v>
      </c>
      <c r="D71" s="389">
        <v>57032</v>
      </c>
      <c r="E71" s="389">
        <v>92041</v>
      </c>
      <c r="F71" s="398">
        <v>16865</v>
      </c>
      <c r="G71" s="154">
        <v>24850</v>
      </c>
      <c r="H71" s="389">
        <v>5498</v>
      </c>
      <c r="I71" s="389">
        <v>15191</v>
      </c>
      <c r="J71" s="389">
        <v>12836</v>
      </c>
      <c r="K71" s="389">
        <v>28214</v>
      </c>
      <c r="L71" s="389">
        <v>33790</v>
      </c>
      <c r="M71" s="397">
        <v>17215</v>
      </c>
      <c r="N71" s="396"/>
    </row>
    <row r="72" spans="1:14" ht="12.75" customHeight="1" hidden="1">
      <c r="A72" s="94" t="s">
        <v>982</v>
      </c>
      <c r="B72" s="391">
        <f>((14.06*66211+135.98*35116)/(14.06+135.98))</f>
        <v>38029.86097040789</v>
      </c>
      <c r="C72" s="389">
        <v>45346</v>
      </c>
      <c r="D72" s="389">
        <v>50952</v>
      </c>
      <c r="E72" s="389">
        <v>88999</v>
      </c>
      <c r="F72" s="398">
        <v>14366</v>
      </c>
      <c r="G72" s="154">
        <v>20990</v>
      </c>
      <c r="H72" s="389">
        <v>5058</v>
      </c>
      <c r="I72" s="389">
        <v>17929</v>
      </c>
      <c r="J72" s="389">
        <v>14257</v>
      </c>
      <c r="K72" s="389">
        <v>33183</v>
      </c>
      <c r="L72" s="389">
        <v>31493</v>
      </c>
      <c r="M72" s="397">
        <v>14940</v>
      </c>
      <c r="N72" s="396"/>
    </row>
    <row r="73" spans="1:14" ht="12" hidden="1">
      <c r="A73" s="94" t="s">
        <v>983</v>
      </c>
      <c r="B73" s="391">
        <f>((14.06*63154+135.98*31960)/(14.06+135.98))</f>
        <v>34883.1380965076</v>
      </c>
      <c r="C73" s="389">
        <v>42908</v>
      </c>
      <c r="D73" s="389">
        <v>46487</v>
      </c>
      <c r="E73" s="389">
        <v>87957</v>
      </c>
      <c r="F73" s="398">
        <v>12566</v>
      </c>
      <c r="G73" s="154">
        <v>18568</v>
      </c>
      <c r="H73" s="389">
        <v>4881</v>
      </c>
      <c r="I73" s="389">
        <v>17136</v>
      </c>
      <c r="J73" s="389">
        <v>13303</v>
      </c>
      <c r="K73" s="389">
        <v>32208</v>
      </c>
      <c r="L73" s="389">
        <v>28900</v>
      </c>
      <c r="M73" s="397">
        <v>13504</v>
      </c>
      <c r="N73" s="396"/>
    </row>
    <row r="74" spans="1:14" ht="12" hidden="1">
      <c r="A74" s="94" t="s">
        <v>984</v>
      </c>
      <c r="B74" s="391">
        <f>((14.06*58868+135.98*30348)/(14.06+135.98))</f>
        <v>33020.561983471074</v>
      </c>
      <c r="C74" s="389">
        <v>41282</v>
      </c>
      <c r="D74" s="389">
        <v>44917</v>
      </c>
      <c r="E74" s="389">
        <v>79728</v>
      </c>
      <c r="F74" s="398">
        <v>13332</v>
      </c>
      <c r="G74" s="154">
        <v>19592</v>
      </c>
      <c r="H74" s="389">
        <v>6947</v>
      </c>
      <c r="I74" s="389">
        <v>14927</v>
      </c>
      <c r="J74" s="389">
        <v>13377</v>
      </c>
      <c r="K74" s="389">
        <v>29397</v>
      </c>
      <c r="L74" s="389">
        <v>28466</v>
      </c>
      <c r="M74" s="397">
        <v>13147</v>
      </c>
      <c r="N74" s="396"/>
    </row>
    <row r="75" spans="1:14" ht="12" hidden="1">
      <c r="A75" s="94"/>
      <c r="B75" s="391"/>
      <c r="C75" s="389"/>
      <c r="D75" s="389"/>
      <c r="E75" s="389"/>
      <c r="F75" s="398"/>
      <c r="G75" s="154"/>
      <c r="H75" s="389"/>
      <c r="I75" s="389"/>
      <c r="J75" s="389"/>
      <c r="K75" s="389"/>
      <c r="L75" s="389"/>
      <c r="M75" s="397"/>
      <c r="N75" s="396"/>
    </row>
    <row r="76" spans="1:14" ht="12" customHeight="1" hidden="1">
      <c r="A76" s="94">
        <v>2002</v>
      </c>
      <c r="B76" s="97">
        <f aca="true" t="shared" si="5" ref="B76:M76">(B77*31+B78*28+B79*31+B80*30+B81*31+B82*30+B83*31+B84*31+B85*30+B86*31+B87*30+B88*31)/365</f>
        <v>42878.07490057446</v>
      </c>
      <c r="C76" s="97">
        <f t="shared" si="5"/>
        <v>48838.51780821918</v>
      </c>
      <c r="D76" s="97">
        <f t="shared" si="5"/>
        <v>56071.07397260274</v>
      </c>
      <c r="E76" s="97">
        <f t="shared" si="5"/>
        <v>92646.78630136987</v>
      </c>
      <c r="F76" s="97">
        <f t="shared" si="5"/>
        <v>15515.104109589041</v>
      </c>
      <c r="G76" s="171">
        <f t="shared" si="5"/>
        <v>23876.2301369863</v>
      </c>
      <c r="H76" s="97">
        <f t="shared" si="5"/>
        <v>5907.47397260274</v>
      </c>
      <c r="I76" s="97">
        <f t="shared" si="5"/>
        <v>17296.594520547944</v>
      </c>
      <c r="J76" s="97">
        <f t="shared" si="5"/>
        <v>14272.046575342465</v>
      </c>
      <c r="K76" s="97">
        <f t="shared" si="5"/>
        <v>31288.09315068493</v>
      </c>
      <c r="L76" s="97">
        <f t="shared" si="5"/>
        <v>35255.860273972605</v>
      </c>
      <c r="M76" s="97">
        <f t="shared" si="5"/>
        <v>19768.2</v>
      </c>
      <c r="N76" s="302"/>
    </row>
    <row r="77" spans="1:14" ht="12" customHeight="1" hidden="1">
      <c r="A77" s="94" t="s">
        <v>302</v>
      </c>
      <c r="B77" s="391">
        <f>((14.06*59428+135.98*29383)/(14.06+135.98))</f>
        <v>32198.467208744332</v>
      </c>
      <c r="C77" s="391">
        <v>40222</v>
      </c>
      <c r="D77" s="391">
        <v>43113</v>
      </c>
      <c r="E77" s="391">
        <v>81934</v>
      </c>
      <c r="F77" s="398">
        <v>11259</v>
      </c>
      <c r="G77" s="172">
        <v>17291</v>
      </c>
      <c r="H77" s="391">
        <v>6249</v>
      </c>
      <c r="I77" s="391">
        <v>16613</v>
      </c>
      <c r="J77" s="391">
        <v>13389</v>
      </c>
      <c r="K77" s="391">
        <v>31101</v>
      </c>
      <c r="L77" s="391">
        <v>27030</v>
      </c>
      <c r="M77" s="411">
        <v>13815</v>
      </c>
      <c r="N77" s="409"/>
    </row>
    <row r="78" spans="1:14" ht="12" customHeight="1" hidden="1">
      <c r="A78" s="94" t="s">
        <v>303</v>
      </c>
      <c r="B78" s="391">
        <f>((14.06*63493+135.98*32148)/(14.06+135.98))</f>
        <v>35085.288056518264</v>
      </c>
      <c r="C78" s="389">
        <v>43407</v>
      </c>
      <c r="D78" s="389">
        <v>47796</v>
      </c>
      <c r="E78" s="389">
        <v>89247</v>
      </c>
      <c r="F78" s="398">
        <v>12279</v>
      </c>
      <c r="G78" s="172">
        <v>18267</v>
      </c>
      <c r="H78" s="389">
        <v>6961</v>
      </c>
      <c r="I78" s="389">
        <v>17914</v>
      </c>
      <c r="J78" s="389">
        <v>14801</v>
      </c>
      <c r="K78" s="389">
        <v>32753</v>
      </c>
      <c r="L78" s="389">
        <v>31341</v>
      </c>
      <c r="M78" s="411">
        <v>14926</v>
      </c>
      <c r="N78" s="409"/>
    </row>
    <row r="79" spans="1:14" ht="12" customHeight="1" hidden="1">
      <c r="A79" s="94" t="s">
        <v>304</v>
      </c>
      <c r="B79" s="391">
        <f>((14.06*61892+135.98*37023)/(14.06+135.98))</f>
        <v>39353.43281791523</v>
      </c>
      <c r="C79" s="389">
        <v>46384</v>
      </c>
      <c r="D79" s="389">
        <v>55167</v>
      </c>
      <c r="E79" s="389">
        <v>92800</v>
      </c>
      <c r="F79" s="398">
        <v>15853</v>
      </c>
      <c r="G79" s="172">
        <v>23415</v>
      </c>
      <c r="H79" s="389">
        <v>6821</v>
      </c>
      <c r="I79" s="389">
        <v>16086</v>
      </c>
      <c r="J79" s="389">
        <v>14441</v>
      </c>
      <c r="K79" s="389">
        <v>29009</v>
      </c>
      <c r="L79" s="389">
        <v>33073</v>
      </c>
      <c r="M79" s="411">
        <v>17093</v>
      </c>
      <c r="N79" s="409"/>
    </row>
    <row r="80" spans="1:14" ht="12" customHeight="1" hidden="1">
      <c r="A80" s="94" t="s">
        <v>305</v>
      </c>
      <c r="B80" s="391">
        <f>((14.06*67890+135.98*38322)/(14.06+135.98))</f>
        <v>41092.76832844575</v>
      </c>
      <c r="C80" s="389">
        <v>47352</v>
      </c>
      <c r="D80" s="389">
        <v>52955</v>
      </c>
      <c r="E80" s="389">
        <v>94753</v>
      </c>
      <c r="F80" s="398">
        <v>14231</v>
      </c>
      <c r="G80" s="172">
        <v>22048</v>
      </c>
      <c r="H80" s="389">
        <v>4561</v>
      </c>
      <c r="I80" s="389">
        <v>17594</v>
      </c>
      <c r="J80" s="389">
        <v>13260</v>
      </c>
      <c r="K80" s="389">
        <v>33497</v>
      </c>
      <c r="L80" s="389">
        <v>33401</v>
      </c>
      <c r="M80" s="411">
        <v>20511</v>
      </c>
      <c r="N80" s="409"/>
    </row>
    <row r="81" spans="1:14" ht="12" customHeight="1" hidden="1">
      <c r="A81" s="94" t="s">
        <v>306</v>
      </c>
      <c r="B81" s="391">
        <f>((14.06*67377+135.98*39604)/(14.06+135.98))</f>
        <v>42206.56185017329</v>
      </c>
      <c r="C81" s="389">
        <v>49857</v>
      </c>
      <c r="D81" s="389">
        <v>54367</v>
      </c>
      <c r="E81" s="389">
        <v>96460</v>
      </c>
      <c r="F81" s="398">
        <v>13842</v>
      </c>
      <c r="G81" s="172">
        <v>21322</v>
      </c>
      <c r="H81" s="389">
        <v>4417</v>
      </c>
      <c r="I81" s="389">
        <v>17845</v>
      </c>
      <c r="J81" s="389">
        <v>13254</v>
      </c>
      <c r="K81" s="389">
        <v>33142</v>
      </c>
      <c r="L81" s="389">
        <v>35173</v>
      </c>
      <c r="M81" s="397">
        <v>19668</v>
      </c>
      <c r="N81" s="396"/>
    </row>
    <row r="82" spans="1:14" ht="12" customHeight="1" hidden="1">
      <c r="A82" s="94" t="s">
        <v>978</v>
      </c>
      <c r="B82" s="391">
        <f>((14.06*68528+135.98*43170)/(14.06+135.98))</f>
        <v>45546.2561983471</v>
      </c>
      <c r="C82" s="389">
        <v>55906</v>
      </c>
      <c r="D82" s="389">
        <v>58256</v>
      </c>
      <c r="E82" s="389">
        <v>96564</v>
      </c>
      <c r="F82" s="398">
        <v>15516</v>
      </c>
      <c r="G82" s="172">
        <v>22614</v>
      </c>
      <c r="H82" s="389">
        <v>4765</v>
      </c>
      <c r="I82" s="389">
        <v>17078</v>
      </c>
      <c r="J82" s="389">
        <v>13191</v>
      </c>
      <c r="K82" s="389">
        <v>32516</v>
      </c>
      <c r="L82" s="389">
        <v>39990</v>
      </c>
      <c r="M82" s="397">
        <v>23386</v>
      </c>
      <c r="N82" s="396"/>
    </row>
    <row r="83" spans="1:14" ht="12" customHeight="1" hidden="1">
      <c r="A83" s="94" t="s">
        <v>979</v>
      </c>
      <c r="B83" s="391">
        <f>((14.06*73557+135.98*55607)/(14.06+135.98))</f>
        <v>57289.06478272461</v>
      </c>
      <c r="C83" s="389">
        <v>60968</v>
      </c>
      <c r="D83" s="389">
        <v>70108</v>
      </c>
      <c r="E83" s="389">
        <v>106440</v>
      </c>
      <c r="F83" s="398">
        <v>19639</v>
      </c>
      <c r="G83" s="172">
        <v>30725</v>
      </c>
      <c r="H83" s="389">
        <v>5520</v>
      </c>
      <c r="I83" s="389">
        <v>18166</v>
      </c>
      <c r="J83" s="389">
        <v>14516</v>
      </c>
      <c r="K83" s="389">
        <v>32936</v>
      </c>
      <c r="L83" s="389">
        <v>44893</v>
      </c>
      <c r="M83" s="397">
        <v>26409</v>
      </c>
      <c r="N83" s="396"/>
    </row>
    <row r="84" spans="1:14" ht="12" customHeight="1" hidden="1">
      <c r="A84" s="94" t="s">
        <v>980</v>
      </c>
      <c r="B84" s="391">
        <f>((14.06*56685+135.98*61771)/(14.06+135.98))</f>
        <v>61294.399360170624</v>
      </c>
      <c r="C84" s="389">
        <v>53322</v>
      </c>
      <c r="D84" s="389">
        <v>78533</v>
      </c>
      <c r="E84" s="389">
        <v>92029</v>
      </c>
      <c r="F84" s="398">
        <v>24795</v>
      </c>
      <c r="G84" s="172">
        <v>42472</v>
      </c>
      <c r="H84" s="389">
        <v>7841</v>
      </c>
      <c r="I84" s="389">
        <v>10850</v>
      </c>
      <c r="J84" s="389">
        <v>12006</v>
      </c>
      <c r="K84" s="389">
        <v>17379</v>
      </c>
      <c r="L84" s="389">
        <v>43273</v>
      </c>
      <c r="M84" s="397">
        <v>28160</v>
      </c>
      <c r="N84" s="396"/>
    </row>
    <row r="85" spans="1:14" ht="12" customHeight="1" hidden="1">
      <c r="A85" s="94" t="s">
        <v>981</v>
      </c>
      <c r="B85" s="391">
        <f>((14.06*66404+135.98*42525)/(14.06+135.98))</f>
        <v>44762.66155691816</v>
      </c>
      <c r="C85" s="389">
        <v>50209</v>
      </c>
      <c r="D85" s="389">
        <v>59030</v>
      </c>
      <c r="E85" s="389">
        <v>94116</v>
      </c>
      <c r="F85" s="398">
        <v>17008</v>
      </c>
      <c r="G85" s="172">
        <v>25286</v>
      </c>
      <c r="H85" s="389">
        <v>5927</v>
      </c>
      <c r="I85" s="389">
        <v>17574</v>
      </c>
      <c r="J85" s="389">
        <v>15426</v>
      </c>
      <c r="K85" s="389">
        <v>30985</v>
      </c>
      <c r="L85" s="389">
        <v>36669</v>
      </c>
      <c r="M85" s="397">
        <v>20393</v>
      </c>
      <c r="N85" s="396"/>
    </row>
    <row r="86" spans="1:14" ht="12" customHeight="1" hidden="1">
      <c r="A86" s="94" t="s">
        <v>982</v>
      </c>
      <c r="B86" s="391">
        <f>((14.06*69764+135.98*37906)/(14.06+135.98))</f>
        <v>40891.36043721674</v>
      </c>
      <c r="C86" s="389">
        <v>48057</v>
      </c>
      <c r="D86" s="389">
        <v>53706</v>
      </c>
      <c r="E86" s="389">
        <v>91942</v>
      </c>
      <c r="F86" s="398">
        <v>14563</v>
      </c>
      <c r="G86" s="172">
        <v>21459</v>
      </c>
      <c r="H86" s="389">
        <v>4932</v>
      </c>
      <c r="I86" s="389">
        <v>20414</v>
      </c>
      <c r="J86" s="389">
        <v>16010</v>
      </c>
      <c r="K86" s="389">
        <v>35908</v>
      </c>
      <c r="L86" s="389">
        <v>33628</v>
      </c>
      <c r="M86" s="397">
        <v>18115</v>
      </c>
      <c r="N86" s="396"/>
    </row>
    <row r="87" spans="1:14" ht="12" customHeight="1" hidden="1">
      <c r="A87" s="94" t="s">
        <v>983</v>
      </c>
      <c r="B87" s="391">
        <f>((14.06*67269+135.98*35010)/(14.06+135.98))</f>
        <v>38032.93748333777</v>
      </c>
      <c r="C87" s="389">
        <v>45930</v>
      </c>
      <c r="D87" s="389">
        <v>50259</v>
      </c>
      <c r="E87" s="389">
        <v>91403</v>
      </c>
      <c r="F87" s="398">
        <v>13319</v>
      </c>
      <c r="G87" s="172">
        <v>20103</v>
      </c>
      <c r="H87" s="389">
        <v>5288</v>
      </c>
      <c r="I87" s="389">
        <v>19424</v>
      </c>
      <c r="J87" s="389">
        <v>15250</v>
      </c>
      <c r="K87" s="389">
        <v>34358</v>
      </c>
      <c r="L87" s="389">
        <v>32871</v>
      </c>
      <c r="M87" s="397">
        <v>17331</v>
      </c>
      <c r="N87" s="396"/>
    </row>
    <row r="88" spans="1:14" ht="12" customHeight="1" hidden="1">
      <c r="A88" s="94" t="s">
        <v>984</v>
      </c>
      <c r="B88" s="391">
        <f>((14.06*63686+135.98*33096)/(14.06+135.98))</f>
        <v>35962.53825646495</v>
      </c>
      <c r="C88" s="389">
        <v>44053</v>
      </c>
      <c r="D88" s="389">
        <v>48640</v>
      </c>
      <c r="E88" s="389">
        <v>83946</v>
      </c>
      <c r="F88" s="398">
        <v>13500</v>
      </c>
      <c r="G88" s="172">
        <v>20794</v>
      </c>
      <c r="H88" s="389">
        <v>7610</v>
      </c>
      <c r="I88" s="389">
        <v>18141</v>
      </c>
      <c r="J88" s="389">
        <v>15773</v>
      </c>
      <c r="K88" s="389">
        <v>32215</v>
      </c>
      <c r="L88" s="389">
        <v>31411</v>
      </c>
      <c r="M88" s="397">
        <v>17025</v>
      </c>
      <c r="N88" s="396"/>
    </row>
    <row r="89" spans="1:14" ht="12" customHeight="1" hidden="1">
      <c r="A89" s="94"/>
      <c r="B89" s="391"/>
      <c r="C89" s="389"/>
      <c r="D89" s="389"/>
      <c r="E89" s="389"/>
      <c r="F89" s="398"/>
      <c r="G89" s="154"/>
      <c r="H89" s="389"/>
      <c r="I89" s="389"/>
      <c r="J89" s="389"/>
      <c r="K89" s="389"/>
      <c r="L89" s="389"/>
      <c r="M89" s="397"/>
      <c r="N89" s="396"/>
    </row>
    <row r="90" spans="1:14" ht="12" customHeight="1">
      <c r="A90" s="484">
        <v>2003</v>
      </c>
      <c r="B90" s="485">
        <f aca="true" t="shared" si="6" ref="B90:M90">(B91*31+B92*28+B93*31+B94*30+B95*31+B96*30+B97*31+B98*31+B99*30+B100*31+B101*30+B102*31)/365</f>
        <v>44406.917633288656</v>
      </c>
      <c r="C90" s="485">
        <f t="shared" si="6"/>
        <v>51597.6602739726</v>
      </c>
      <c r="D90" s="485">
        <f t="shared" si="6"/>
        <v>57782.180821917806</v>
      </c>
      <c r="E90" s="485">
        <f t="shared" si="6"/>
        <v>95712.64657534247</v>
      </c>
      <c r="F90" s="485">
        <f t="shared" si="6"/>
        <v>15516.227397260274</v>
      </c>
      <c r="G90" s="486">
        <f t="shared" si="6"/>
        <v>24623.26301369863</v>
      </c>
      <c r="H90" s="485">
        <f t="shared" si="6"/>
        <v>6012.030136986301</v>
      </c>
      <c r="I90" s="485">
        <f t="shared" si="6"/>
        <v>21367.712328767124</v>
      </c>
      <c r="J90" s="485">
        <f t="shared" si="6"/>
        <v>15547.701369863014</v>
      </c>
      <c r="K90" s="485">
        <f t="shared" si="6"/>
        <v>33130.5698630137</v>
      </c>
      <c r="L90" s="485">
        <f t="shared" si="6"/>
        <v>38195.964383561644</v>
      </c>
      <c r="M90" s="485">
        <f t="shared" si="6"/>
        <v>16192.408219178082</v>
      </c>
      <c r="N90" s="302"/>
    </row>
    <row r="91" spans="1:14" ht="12" customHeight="1">
      <c r="A91" s="94" t="s">
        <v>302</v>
      </c>
      <c r="B91" s="391">
        <f>((14.06*62247+135.98*31351)/(14.06+135.98))</f>
        <v>34246.213009864034</v>
      </c>
      <c r="C91" s="391">
        <v>42346</v>
      </c>
      <c r="D91" s="391">
        <v>45418</v>
      </c>
      <c r="E91" s="391">
        <v>84184</v>
      </c>
      <c r="F91" s="398">
        <v>10844</v>
      </c>
      <c r="G91" s="172">
        <v>18240</v>
      </c>
      <c r="H91" s="391">
        <v>6686</v>
      </c>
      <c r="I91" s="391">
        <v>19712</v>
      </c>
      <c r="J91" s="391">
        <v>15159</v>
      </c>
      <c r="K91" s="391">
        <v>32069</v>
      </c>
      <c r="L91" s="391">
        <v>29626</v>
      </c>
      <c r="M91" s="411">
        <v>11067</v>
      </c>
      <c r="N91" s="409"/>
    </row>
    <row r="92" spans="1:14" ht="12" customHeight="1">
      <c r="A92" s="492" t="s">
        <v>303</v>
      </c>
      <c r="B92" s="493">
        <f>((14.06*66058+135.98*32552)/(14.06+135.98))</f>
        <v>35691.7917888563</v>
      </c>
      <c r="C92" s="494">
        <v>44354</v>
      </c>
      <c r="D92" s="494">
        <v>47995</v>
      </c>
      <c r="E92" s="494">
        <v>89533</v>
      </c>
      <c r="F92" s="495">
        <v>11888</v>
      </c>
      <c r="G92" s="496">
        <v>18401</v>
      </c>
      <c r="H92" s="494">
        <v>6614</v>
      </c>
      <c r="I92" s="494">
        <v>21796</v>
      </c>
      <c r="J92" s="494">
        <v>15994</v>
      </c>
      <c r="K92" s="494">
        <v>34913</v>
      </c>
      <c r="L92" s="494">
        <v>31646</v>
      </c>
      <c r="M92" s="497">
        <v>12932</v>
      </c>
      <c r="N92" s="409"/>
    </row>
    <row r="93" spans="1:14" ht="12" customHeight="1">
      <c r="A93" s="94" t="s">
        <v>304</v>
      </c>
      <c r="B93" s="391">
        <f>((14.06*68970+135.98*35500)/(14.06+135.98))</f>
        <v>38636.418288456414</v>
      </c>
      <c r="C93" s="389">
        <v>48122</v>
      </c>
      <c r="D93" s="389">
        <v>52145</v>
      </c>
      <c r="E93" s="389">
        <v>94120</v>
      </c>
      <c r="F93" s="398">
        <v>12598</v>
      </c>
      <c r="G93" s="172">
        <v>20559</v>
      </c>
      <c r="H93" s="389">
        <v>6570</v>
      </c>
      <c r="I93" s="389">
        <v>22505</v>
      </c>
      <c r="J93" s="389">
        <v>16591</v>
      </c>
      <c r="K93" s="389">
        <v>34842</v>
      </c>
      <c r="L93" s="389">
        <v>35492</v>
      </c>
      <c r="M93" s="411">
        <v>13941</v>
      </c>
      <c r="N93" s="409"/>
    </row>
    <row r="94" spans="1:14" ht="12" customHeight="1">
      <c r="A94" s="492" t="s">
        <v>305</v>
      </c>
      <c r="B94" s="493">
        <f>((14.06*71006+135.98*42686)/(14.06+135.98))</f>
        <v>45339.82031458278</v>
      </c>
      <c r="C94" s="494">
        <v>51626</v>
      </c>
      <c r="D94" s="494">
        <v>61510</v>
      </c>
      <c r="E94" s="494">
        <v>97443</v>
      </c>
      <c r="F94" s="495">
        <v>17522</v>
      </c>
      <c r="G94" s="496">
        <v>26691</v>
      </c>
      <c r="H94" s="494">
        <v>5824</v>
      </c>
      <c r="I94" s="494">
        <v>21012</v>
      </c>
      <c r="J94" s="494">
        <v>15444</v>
      </c>
      <c r="K94" s="494">
        <v>32666</v>
      </c>
      <c r="L94" s="494">
        <v>38699</v>
      </c>
      <c r="M94" s="497">
        <v>17843</v>
      </c>
      <c r="N94" s="409"/>
    </row>
    <row r="95" spans="1:14" ht="12" customHeight="1">
      <c r="A95" s="94" t="s">
        <v>306</v>
      </c>
      <c r="B95" s="391">
        <f>((14.06*73875+135.98*41456)/(14.06+135.98))</f>
        <v>44493.93081844842</v>
      </c>
      <c r="C95" s="389">
        <v>53506</v>
      </c>
      <c r="D95" s="389">
        <v>56957</v>
      </c>
      <c r="E95" s="389">
        <v>98407</v>
      </c>
      <c r="F95" s="398">
        <v>14553</v>
      </c>
      <c r="G95" s="172">
        <v>22429</v>
      </c>
      <c r="H95" s="389">
        <v>4387</v>
      </c>
      <c r="I95" s="389">
        <v>21788</v>
      </c>
      <c r="J95" s="389">
        <v>14385</v>
      </c>
      <c r="K95" s="389">
        <v>34975</v>
      </c>
      <c r="L95" s="389">
        <v>39084</v>
      </c>
      <c r="M95" s="397">
        <v>14768</v>
      </c>
      <c r="N95" s="396"/>
    </row>
    <row r="96" spans="1:14" ht="12" customHeight="1">
      <c r="A96" s="492" t="s">
        <v>978</v>
      </c>
      <c r="B96" s="493">
        <f>((14.06*75778+135.98*46889)/(14.06+135.98))</f>
        <v>49596.14036256998</v>
      </c>
      <c r="C96" s="494">
        <v>59871</v>
      </c>
      <c r="D96" s="494">
        <v>62508</v>
      </c>
      <c r="E96" s="494">
        <v>95979</v>
      </c>
      <c r="F96" s="495">
        <v>16252</v>
      </c>
      <c r="G96" s="496">
        <v>24297</v>
      </c>
      <c r="H96" s="494">
        <v>5048</v>
      </c>
      <c r="I96" s="494">
        <v>21430</v>
      </c>
      <c r="J96" s="494">
        <v>14691</v>
      </c>
      <c r="K96" s="494">
        <v>34211</v>
      </c>
      <c r="L96" s="494">
        <v>45003</v>
      </c>
      <c r="M96" s="498">
        <v>18366</v>
      </c>
      <c r="N96" s="396"/>
    </row>
    <row r="97" spans="1:14" ht="12" customHeight="1">
      <c r="A97" s="94" t="s">
        <v>979</v>
      </c>
      <c r="B97" s="391">
        <f>((14.06*78950+135.98*56940)/(14.06+135.98))</f>
        <v>59002.520661157025</v>
      </c>
      <c r="C97" s="389">
        <v>64204</v>
      </c>
      <c r="D97" s="389">
        <v>71670</v>
      </c>
      <c r="E97" s="389">
        <v>113703</v>
      </c>
      <c r="F97" s="398">
        <v>19605</v>
      </c>
      <c r="G97" s="172">
        <v>31130</v>
      </c>
      <c r="H97" s="389">
        <v>5655</v>
      </c>
      <c r="I97" s="389">
        <v>22114</v>
      </c>
      <c r="J97" s="389">
        <v>15832</v>
      </c>
      <c r="K97" s="389">
        <v>35656</v>
      </c>
      <c r="L97" s="389">
        <v>48253</v>
      </c>
      <c r="M97" s="397">
        <v>21991</v>
      </c>
      <c r="N97" s="396"/>
    </row>
    <row r="98" spans="1:14" ht="12" customHeight="1">
      <c r="A98" s="492" t="s">
        <v>980</v>
      </c>
      <c r="B98" s="493">
        <f>((14.06*58518+135.98*62135)/(14.06+135.98))</f>
        <v>61796.056918155155</v>
      </c>
      <c r="C98" s="494">
        <v>57341</v>
      </c>
      <c r="D98" s="494">
        <v>79926</v>
      </c>
      <c r="E98" s="494">
        <v>96990</v>
      </c>
      <c r="F98" s="495">
        <v>25182</v>
      </c>
      <c r="G98" s="496">
        <v>43582</v>
      </c>
      <c r="H98" s="494">
        <v>7920</v>
      </c>
      <c r="I98" s="494">
        <v>12578</v>
      </c>
      <c r="J98" s="494">
        <v>12815</v>
      </c>
      <c r="K98" s="494">
        <v>17882</v>
      </c>
      <c r="L98" s="494">
        <v>45962</v>
      </c>
      <c r="M98" s="498">
        <v>24349</v>
      </c>
      <c r="N98" s="396"/>
    </row>
    <row r="99" spans="1:14" ht="12" customHeight="1">
      <c r="A99" s="94" t="s">
        <v>981</v>
      </c>
      <c r="B99" s="391">
        <f>((14.06*70496+135.98*42742)/(14.06+135.98))</f>
        <v>45342.781391628894</v>
      </c>
      <c r="C99" s="389">
        <v>51746</v>
      </c>
      <c r="D99" s="389">
        <v>58813</v>
      </c>
      <c r="E99" s="389">
        <v>99757</v>
      </c>
      <c r="F99" s="398">
        <v>16567</v>
      </c>
      <c r="G99" s="172">
        <v>25380</v>
      </c>
      <c r="H99" s="389">
        <v>5586</v>
      </c>
      <c r="I99" s="389">
        <v>21508</v>
      </c>
      <c r="J99" s="389">
        <v>15798</v>
      </c>
      <c r="K99" s="389">
        <v>33020</v>
      </c>
      <c r="L99" s="389">
        <v>38424</v>
      </c>
      <c r="M99" s="397">
        <v>17215</v>
      </c>
      <c r="N99" s="396"/>
    </row>
    <row r="100" spans="1:14" ht="12" customHeight="1">
      <c r="A100" s="492" t="s">
        <v>982</v>
      </c>
      <c r="B100" s="493">
        <f>((14.06*73379+135.98*37866)/(14.06+135.98))</f>
        <v>41193.86443615036</v>
      </c>
      <c r="C100" s="494">
        <v>49825</v>
      </c>
      <c r="D100" s="494">
        <v>53780</v>
      </c>
      <c r="E100" s="494">
        <v>96804</v>
      </c>
      <c r="F100" s="495">
        <v>14187</v>
      </c>
      <c r="G100" s="496">
        <v>22039</v>
      </c>
      <c r="H100" s="494">
        <v>4964</v>
      </c>
      <c r="I100" s="494">
        <v>25162</v>
      </c>
      <c r="J100" s="494">
        <v>16934</v>
      </c>
      <c r="K100" s="494">
        <v>38032</v>
      </c>
      <c r="L100" s="494">
        <v>35653</v>
      </c>
      <c r="M100" s="498">
        <v>14940</v>
      </c>
      <c r="N100" s="396"/>
    </row>
    <row r="101" spans="1:14" ht="12" customHeight="1">
      <c r="A101" s="94" t="s">
        <v>983</v>
      </c>
      <c r="B101" s="391">
        <f>((14.06*71548+135.98*35244)/(14.06+135.98))</f>
        <v>38645.987736603565</v>
      </c>
      <c r="C101" s="389">
        <v>48420</v>
      </c>
      <c r="D101" s="389">
        <v>50374</v>
      </c>
      <c r="E101" s="389">
        <v>93338</v>
      </c>
      <c r="F101" s="398">
        <v>12511</v>
      </c>
      <c r="G101" s="172">
        <v>19893</v>
      </c>
      <c r="H101" s="389">
        <v>5153</v>
      </c>
      <c r="I101" s="389">
        <v>23784</v>
      </c>
      <c r="J101" s="389">
        <v>16022</v>
      </c>
      <c r="K101" s="389">
        <v>35312</v>
      </c>
      <c r="L101" s="389">
        <v>35410</v>
      </c>
      <c r="M101" s="397">
        <v>13504</v>
      </c>
      <c r="N101" s="396"/>
    </row>
    <row r="102" spans="1:14" ht="12" customHeight="1">
      <c r="A102" s="492" t="s">
        <v>984</v>
      </c>
      <c r="B102" s="493">
        <f>((14.06*69595+135.98*34839)/(14.06+135.98))</f>
        <v>38095.92721940816</v>
      </c>
      <c r="C102" s="494">
        <v>47280</v>
      </c>
      <c r="D102" s="494">
        <v>51410</v>
      </c>
      <c r="E102" s="494">
        <v>87814</v>
      </c>
      <c r="F102" s="495">
        <v>14160</v>
      </c>
      <c r="G102" s="496">
        <v>22164</v>
      </c>
      <c r="H102" s="494">
        <v>7717</v>
      </c>
      <c r="I102" s="494">
        <v>23138</v>
      </c>
      <c r="J102" s="494">
        <v>16943</v>
      </c>
      <c r="K102" s="494">
        <v>34248</v>
      </c>
      <c r="L102" s="494">
        <v>34619</v>
      </c>
      <c r="M102" s="498">
        <v>13147</v>
      </c>
      <c r="N102" s="396"/>
    </row>
    <row r="103" spans="1:14" ht="12" customHeight="1">
      <c r="A103" s="94"/>
      <c r="B103" s="391"/>
      <c r="C103" s="389"/>
      <c r="D103" s="389"/>
      <c r="E103" s="389"/>
      <c r="F103" s="398"/>
      <c r="G103" s="172"/>
      <c r="H103" s="389"/>
      <c r="I103" s="389"/>
      <c r="J103" s="389"/>
      <c r="K103" s="389"/>
      <c r="L103" s="389"/>
      <c r="M103" s="397"/>
      <c r="N103" s="396"/>
    </row>
    <row r="104" spans="1:14" ht="12" customHeight="1">
      <c r="A104" s="484">
        <v>2004</v>
      </c>
      <c r="B104" s="485">
        <f aca="true" t="shared" si="7" ref="B104:M104">(B105*31+B106*29+B107*31+B108*30+B109*31+B110*30+B111*31+B112*31+B113*30+B114*31+B115*30+B116*31)/366</f>
        <v>46142.04238141231</v>
      </c>
      <c r="C104" s="485">
        <f t="shared" si="7"/>
        <v>53529.41530054645</v>
      </c>
      <c r="D104" s="485">
        <f t="shared" si="7"/>
        <v>59053.35519125683</v>
      </c>
      <c r="E104" s="485">
        <f t="shared" si="7"/>
        <v>99460.3087431694</v>
      </c>
      <c r="F104" s="485">
        <f t="shared" si="7"/>
        <v>14889.997267759563</v>
      </c>
      <c r="G104" s="486">
        <f t="shared" si="7"/>
        <v>25406.688524590165</v>
      </c>
      <c r="H104" s="485">
        <f t="shared" si="7"/>
        <v>6236.081967213115</v>
      </c>
      <c r="I104" s="485">
        <f t="shared" si="7"/>
        <v>24684.169398907103</v>
      </c>
      <c r="J104" s="485">
        <f t="shared" si="7"/>
        <v>16283.975409836066</v>
      </c>
      <c r="K104" s="485">
        <f t="shared" si="7"/>
        <v>32974.22677595628</v>
      </c>
      <c r="L104" s="485">
        <f t="shared" si="7"/>
        <v>39781.620218579235</v>
      </c>
      <c r="M104" s="485">
        <f t="shared" si="7"/>
        <v>21090.55737704918</v>
      </c>
      <c r="N104" s="302"/>
    </row>
    <row r="105" spans="1:14" ht="12" customHeight="1">
      <c r="A105" s="94" t="s">
        <v>302</v>
      </c>
      <c r="B105" s="403">
        <f>((14.06*65614+135.98*33015)/(14.06+135.98))</f>
        <v>36069.79832044787</v>
      </c>
      <c r="C105" s="403">
        <v>45639</v>
      </c>
      <c r="D105" s="403">
        <v>47153</v>
      </c>
      <c r="E105" s="403">
        <v>86427</v>
      </c>
      <c r="F105" s="402">
        <v>11386</v>
      </c>
      <c r="G105" s="172">
        <v>19304</v>
      </c>
      <c r="H105" s="403">
        <v>7556</v>
      </c>
      <c r="I105" s="403">
        <v>22687</v>
      </c>
      <c r="J105" s="403">
        <v>16007</v>
      </c>
      <c r="K105" s="403">
        <v>32247</v>
      </c>
      <c r="L105" s="403">
        <v>32452</v>
      </c>
      <c r="M105" s="409">
        <v>15808</v>
      </c>
      <c r="N105" s="409"/>
    </row>
    <row r="106" spans="1:14" ht="12" customHeight="1">
      <c r="A106" s="492" t="s">
        <v>303</v>
      </c>
      <c r="B106" s="493">
        <f>((14.06*70034+135.98*35053)/(14.06+135.98))</f>
        <v>38331.01159690749</v>
      </c>
      <c r="C106" s="494">
        <v>47749</v>
      </c>
      <c r="D106" s="494">
        <v>50557</v>
      </c>
      <c r="E106" s="494">
        <v>93177</v>
      </c>
      <c r="F106" s="495">
        <v>12368</v>
      </c>
      <c r="G106" s="496">
        <v>19659</v>
      </c>
      <c r="H106" s="494">
        <v>6858</v>
      </c>
      <c r="I106" s="494">
        <v>25156</v>
      </c>
      <c r="J106" s="494">
        <v>17149</v>
      </c>
      <c r="K106" s="494">
        <v>35490</v>
      </c>
      <c r="L106" s="494">
        <v>35966</v>
      </c>
      <c r="M106" s="497">
        <v>17585</v>
      </c>
      <c r="N106" s="409"/>
    </row>
    <row r="107" spans="1:14" ht="12" customHeight="1">
      <c r="A107" s="94" t="s">
        <v>304</v>
      </c>
      <c r="B107" s="403">
        <f>((14.06*73284+135.98*36310)/(14.06+135.98))</f>
        <v>39774.77232737937</v>
      </c>
      <c r="C107" s="401">
        <v>49952</v>
      </c>
      <c r="D107" s="401">
        <v>52949</v>
      </c>
      <c r="E107" s="401">
        <v>98322</v>
      </c>
      <c r="F107" s="402">
        <v>13030</v>
      </c>
      <c r="G107" s="172">
        <v>21356</v>
      </c>
      <c r="H107" s="401">
        <v>6007</v>
      </c>
      <c r="I107" s="401">
        <v>26593</v>
      </c>
      <c r="J107" s="401">
        <v>16867</v>
      </c>
      <c r="K107" s="401">
        <v>36967</v>
      </c>
      <c r="L107" s="401">
        <v>36239</v>
      </c>
      <c r="M107" s="409">
        <v>18224</v>
      </c>
      <c r="N107" s="409"/>
    </row>
    <row r="108" spans="1:14" ht="12" customHeight="1">
      <c r="A108" s="492" t="s">
        <v>305</v>
      </c>
      <c r="B108" s="493">
        <f>((14.06*73304+135.98*43720)/(14.06+135.98))</f>
        <v>46492.267661956816</v>
      </c>
      <c r="C108" s="494">
        <v>53575</v>
      </c>
      <c r="D108" s="494">
        <v>61396</v>
      </c>
      <c r="E108" s="494">
        <v>102150</v>
      </c>
      <c r="F108" s="495">
        <v>17186</v>
      </c>
      <c r="G108" s="496">
        <v>27368</v>
      </c>
      <c r="H108" s="494">
        <v>6142</v>
      </c>
      <c r="I108" s="494">
        <v>23877</v>
      </c>
      <c r="J108" s="494">
        <v>16498</v>
      </c>
      <c r="K108" s="494">
        <v>33047</v>
      </c>
      <c r="L108" s="494">
        <v>39844</v>
      </c>
      <c r="M108" s="497">
        <v>21866</v>
      </c>
      <c r="N108" s="409"/>
    </row>
    <row r="109" spans="1:14" ht="12" customHeight="1">
      <c r="A109" s="94" t="s">
        <v>306</v>
      </c>
      <c r="B109" s="403">
        <f>((14.06*77541+135.98*43308)/(14.06+135.98))</f>
        <v>46515.91775526526</v>
      </c>
      <c r="C109" s="401">
        <v>55850</v>
      </c>
      <c r="D109" s="401">
        <v>58574</v>
      </c>
      <c r="E109" s="401">
        <v>101719</v>
      </c>
      <c r="F109" s="402">
        <v>13914</v>
      </c>
      <c r="G109" s="172">
        <v>22852</v>
      </c>
      <c r="H109" s="401">
        <v>4763</v>
      </c>
      <c r="I109" s="401">
        <v>25398</v>
      </c>
      <c r="J109" s="401">
        <v>15807</v>
      </c>
      <c r="K109" s="401">
        <v>34832</v>
      </c>
      <c r="L109" s="401">
        <v>40662</v>
      </c>
      <c r="M109" s="396">
        <v>21155</v>
      </c>
      <c r="N109" s="396"/>
    </row>
    <row r="110" spans="1:14" ht="12" customHeight="1">
      <c r="A110" s="492" t="s">
        <v>978</v>
      </c>
      <c r="B110" s="493">
        <f>((14.06*78426+135.98*45434)/(14.06+135.98))</f>
        <v>48525.625699813376</v>
      </c>
      <c r="C110" s="494">
        <v>59940</v>
      </c>
      <c r="D110" s="494">
        <v>62216</v>
      </c>
      <c r="E110" s="494">
        <v>104524</v>
      </c>
      <c r="F110" s="495">
        <v>16095</v>
      </c>
      <c r="G110" s="496">
        <v>24082</v>
      </c>
      <c r="H110" s="494">
        <v>4895</v>
      </c>
      <c r="I110" s="494">
        <v>25662</v>
      </c>
      <c r="J110" s="494">
        <v>15983</v>
      </c>
      <c r="K110" s="494">
        <v>34562</v>
      </c>
      <c r="L110" s="494">
        <v>44018</v>
      </c>
      <c r="M110" s="498">
        <v>23352</v>
      </c>
      <c r="N110" s="396"/>
    </row>
    <row r="111" spans="1:14" ht="12" customHeight="1">
      <c r="A111" s="94" t="s">
        <v>979</v>
      </c>
      <c r="B111" s="403">
        <f>((14.06*82552+135.98*58951)/(14.06+135.98))</f>
        <v>61162.61063716342</v>
      </c>
      <c r="C111" s="401">
        <v>65750</v>
      </c>
      <c r="D111" s="401">
        <v>74030</v>
      </c>
      <c r="E111" s="401">
        <v>114867</v>
      </c>
      <c r="F111" s="402">
        <v>20153</v>
      </c>
      <c r="G111" s="172">
        <v>32916</v>
      </c>
      <c r="H111" s="401">
        <v>6068</v>
      </c>
      <c r="I111" s="401">
        <v>25633</v>
      </c>
      <c r="J111" s="401">
        <v>16888</v>
      </c>
      <c r="K111" s="401">
        <v>33600</v>
      </c>
      <c r="L111" s="401">
        <v>49957</v>
      </c>
      <c r="M111" s="396">
        <v>27902</v>
      </c>
      <c r="N111" s="396"/>
    </row>
    <row r="112" spans="1:14" ht="12" customHeight="1">
      <c r="A112" s="492" t="s">
        <v>980</v>
      </c>
      <c r="B112" s="493">
        <f>((14.06*62620+135.98*62545)/(14.06+135.98))</f>
        <v>62552.02812583311</v>
      </c>
      <c r="C112" s="494">
        <v>57140</v>
      </c>
      <c r="D112" s="494">
        <v>78501</v>
      </c>
      <c r="E112" s="494">
        <v>99744</v>
      </c>
      <c r="F112" s="495">
        <v>22359</v>
      </c>
      <c r="G112" s="496">
        <v>43099</v>
      </c>
      <c r="H112" s="494">
        <v>7936</v>
      </c>
      <c r="I112" s="494">
        <v>15330</v>
      </c>
      <c r="J112" s="494">
        <v>13141</v>
      </c>
      <c r="K112" s="494">
        <v>17536</v>
      </c>
      <c r="L112" s="494">
        <v>46576</v>
      </c>
      <c r="M112" s="498">
        <v>28940</v>
      </c>
      <c r="N112" s="396"/>
    </row>
    <row r="113" spans="1:14" ht="12" customHeight="1">
      <c r="A113" s="94" t="s">
        <v>981</v>
      </c>
      <c r="B113" s="403">
        <f>((14.06*76415+135.98*45000)/(14.06+135.98))</f>
        <v>47943.847640629174</v>
      </c>
      <c r="C113" s="401">
        <v>54749</v>
      </c>
      <c r="D113" s="401">
        <v>60371</v>
      </c>
      <c r="E113" s="401">
        <v>102857</v>
      </c>
      <c r="F113" s="402">
        <v>14968</v>
      </c>
      <c r="G113" s="172">
        <v>25988</v>
      </c>
      <c r="H113" s="401">
        <v>5714</v>
      </c>
      <c r="I113" s="401">
        <v>25860</v>
      </c>
      <c r="J113" s="401">
        <v>16416</v>
      </c>
      <c r="K113" s="401">
        <v>33199</v>
      </c>
      <c r="L113" s="401">
        <v>40323</v>
      </c>
      <c r="M113" s="396">
        <v>21633</v>
      </c>
      <c r="N113" s="396"/>
    </row>
    <row r="114" spans="1:14" ht="12" customHeight="1">
      <c r="A114" s="492" t="s">
        <v>982</v>
      </c>
      <c r="B114" s="493">
        <f>((14.06*74999+135.98*41652)/(14.06+135.98))</f>
        <v>44776.89216209012</v>
      </c>
      <c r="C114" s="494">
        <v>52692</v>
      </c>
      <c r="D114" s="494">
        <v>57497</v>
      </c>
      <c r="E114" s="494">
        <v>99766</v>
      </c>
      <c r="F114" s="495">
        <v>13302</v>
      </c>
      <c r="G114" s="496">
        <v>23979</v>
      </c>
      <c r="H114" s="494">
        <v>5941</v>
      </c>
      <c r="I114" s="494">
        <v>26220</v>
      </c>
      <c r="J114" s="494">
        <v>16869</v>
      </c>
      <c r="K114" s="494">
        <v>34265</v>
      </c>
      <c r="L114" s="494">
        <v>38900</v>
      </c>
      <c r="M114" s="498">
        <v>20355</v>
      </c>
      <c r="N114" s="396"/>
    </row>
    <row r="115" spans="1:14" ht="12" customHeight="1">
      <c r="A115" s="94" t="s">
        <v>983</v>
      </c>
      <c r="B115" s="403">
        <f>((14.06*74723+135.98*37282)/(14.06+135.98))</f>
        <v>40790.534124233534</v>
      </c>
      <c r="C115" s="401">
        <v>50378</v>
      </c>
      <c r="D115" s="401">
        <v>52227</v>
      </c>
      <c r="E115" s="401">
        <v>96484</v>
      </c>
      <c r="F115" s="402">
        <v>11272</v>
      </c>
      <c r="G115" s="172">
        <v>20610</v>
      </c>
      <c r="H115" s="401">
        <v>5245</v>
      </c>
      <c r="I115" s="401">
        <v>28283</v>
      </c>
      <c r="J115" s="401">
        <v>16812</v>
      </c>
      <c r="K115" s="401">
        <v>36513</v>
      </c>
      <c r="L115" s="401">
        <v>36359</v>
      </c>
      <c r="M115" s="396">
        <v>18301</v>
      </c>
      <c r="N115" s="396"/>
    </row>
    <row r="116" spans="1:14" ht="12" customHeight="1">
      <c r="A116" s="492" t="s">
        <v>984</v>
      </c>
      <c r="B116" s="493">
        <f>((14.06*71332+135.98*37024)/(14.06+135.98))</f>
        <v>40238.94588109837</v>
      </c>
      <c r="C116" s="494">
        <v>48712</v>
      </c>
      <c r="D116" s="494">
        <v>52621</v>
      </c>
      <c r="E116" s="494">
        <v>93345</v>
      </c>
      <c r="F116" s="495">
        <v>12483</v>
      </c>
      <c r="G116" s="496">
        <v>23181</v>
      </c>
      <c r="H116" s="494">
        <v>7653</v>
      </c>
      <c r="I116" s="494">
        <v>25701</v>
      </c>
      <c r="J116" s="494">
        <v>17045</v>
      </c>
      <c r="K116" s="494">
        <v>33770</v>
      </c>
      <c r="L116" s="494">
        <v>35883</v>
      </c>
      <c r="M116" s="498">
        <v>17765</v>
      </c>
      <c r="N116" s="396"/>
    </row>
    <row r="117" spans="1:14" ht="12" customHeight="1">
      <c r="A117" s="94"/>
      <c r="B117" s="403"/>
      <c r="C117" s="401"/>
      <c r="D117" s="401"/>
      <c r="E117" s="401"/>
      <c r="F117" s="402"/>
      <c r="G117" s="172"/>
      <c r="H117" s="401"/>
      <c r="I117" s="401"/>
      <c r="J117" s="401"/>
      <c r="K117" s="401"/>
      <c r="L117" s="401"/>
      <c r="M117" s="396"/>
      <c r="N117" s="396"/>
    </row>
    <row r="118" spans="1:19" s="227" customFormat="1" ht="12" customHeight="1">
      <c r="A118" s="484">
        <v>2005</v>
      </c>
      <c r="B118" s="485">
        <f aca="true" t="shared" si="8" ref="B118:M118">ROUND((B119*31+B120*28+B121*31+B122*30+B123*31+B124*30+B125*31+B126*31+B127*30+B128*31+B129*30+B130*31)/365,0)</f>
        <v>47455</v>
      </c>
      <c r="C118" s="485">
        <f t="shared" si="8"/>
        <v>54766</v>
      </c>
      <c r="D118" s="485">
        <f t="shared" si="8"/>
        <v>60342</v>
      </c>
      <c r="E118" s="485">
        <f t="shared" si="8"/>
        <v>111353</v>
      </c>
      <c r="F118" s="485">
        <f t="shared" si="8"/>
        <v>13681</v>
      </c>
      <c r="G118" s="485">
        <f t="shared" si="8"/>
        <v>25937</v>
      </c>
      <c r="H118" s="485">
        <f t="shared" si="8"/>
        <v>6281</v>
      </c>
      <c r="I118" s="485">
        <f t="shared" si="8"/>
        <v>27759</v>
      </c>
      <c r="J118" s="485">
        <f t="shared" si="8"/>
        <v>16962</v>
      </c>
      <c r="K118" s="485">
        <f t="shared" si="8"/>
        <v>33587</v>
      </c>
      <c r="L118" s="485">
        <f t="shared" si="8"/>
        <v>41048</v>
      </c>
      <c r="M118" s="485">
        <f t="shared" si="8"/>
        <v>22211</v>
      </c>
      <c r="N118" s="302"/>
      <c r="O118" s="303"/>
      <c r="P118" s="303"/>
      <c r="Q118" s="303"/>
      <c r="R118" s="303"/>
      <c r="S118" s="303"/>
    </row>
    <row r="119" spans="1:14" ht="12" customHeight="1">
      <c r="A119" s="94" t="s">
        <v>302</v>
      </c>
      <c r="B119" s="403">
        <f>((14.06*66025+135.98*33939)/(14.06+135.98))</f>
        <v>36945.7259397494</v>
      </c>
      <c r="C119" s="403">
        <v>46122</v>
      </c>
      <c r="D119" s="403">
        <v>47155</v>
      </c>
      <c r="E119" s="403">
        <v>93372</v>
      </c>
      <c r="F119" s="402">
        <v>9666</v>
      </c>
      <c r="G119" s="172">
        <v>19346</v>
      </c>
      <c r="H119" s="403">
        <v>7157</v>
      </c>
      <c r="I119" s="403">
        <v>24746</v>
      </c>
      <c r="J119" s="403">
        <v>15698</v>
      </c>
      <c r="K119" s="403">
        <v>31419</v>
      </c>
      <c r="L119" s="403">
        <v>32897</v>
      </c>
      <c r="M119" s="409">
        <v>16101</v>
      </c>
      <c r="N119" s="409"/>
    </row>
    <row r="120" spans="1:14" ht="12" customHeight="1">
      <c r="A120" s="492" t="s">
        <v>303</v>
      </c>
      <c r="B120" s="493">
        <f>((14.06*71277+135.98*36513)/(14.06+135.98))</f>
        <v>39770.67688616369</v>
      </c>
      <c r="C120" s="494">
        <v>49438</v>
      </c>
      <c r="D120" s="494">
        <v>51852</v>
      </c>
      <c r="E120" s="494">
        <v>103412</v>
      </c>
      <c r="F120" s="495">
        <v>10695</v>
      </c>
      <c r="G120" s="496">
        <v>20119</v>
      </c>
      <c r="H120" s="494">
        <v>7334</v>
      </c>
      <c r="I120" s="494">
        <v>28870</v>
      </c>
      <c r="J120" s="494">
        <v>17796</v>
      </c>
      <c r="K120" s="494">
        <v>35479</v>
      </c>
      <c r="L120" s="494">
        <v>36486</v>
      </c>
      <c r="M120" s="497">
        <v>18145</v>
      </c>
      <c r="N120" s="409"/>
    </row>
    <row r="121" spans="1:14" ht="12" customHeight="1">
      <c r="A121" s="94" t="s">
        <v>304</v>
      </c>
      <c r="B121" s="403">
        <f>((14.06*70920+135.98*40848)/(14.06+135.98))</f>
        <v>43665.99733404426</v>
      </c>
      <c r="C121" s="401">
        <v>51963</v>
      </c>
      <c r="D121" s="401">
        <v>59686</v>
      </c>
      <c r="E121" s="401">
        <v>108759</v>
      </c>
      <c r="F121" s="402">
        <v>14347</v>
      </c>
      <c r="G121" s="172">
        <v>26179</v>
      </c>
      <c r="H121" s="401">
        <v>7416</v>
      </c>
      <c r="I121" s="401">
        <v>26979</v>
      </c>
      <c r="J121" s="401">
        <v>17522</v>
      </c>
      <c r="K121" s="401">
        <v>32764</v>
      </c>
      <c r="L121" s="401">
        <v>38983</v>
      </c>
      <c r="M121" s="409">
        <v>21075</v>
      </c>
      <c r="N121" s="409"/>
    </row>
    <row r="122" spans="1:14" ht="12" customHeight="1">
      <c r="A122" s="492" t="s">
        <v>305</v>
      </c>
      <c r="B122" s="493">
        <f>((14.06*76681+135.98*42651)/(14.06+135.98))</f>
        <v>45839.89496134364</v>
      </c>
      <c r="C122" s="494">
        <v>55020</v>
      </c>
      <c r="D122" s="494">
        <v>57705</v>
      </c>
      <c r="E122" s="494">
        <v>112887</v>
      </c>
      <c r="F122" s="495">
        <v>12100</v>
      </c>
      <c r="G122" s="496">
        <v>23089</v>
      </c>
      <c r="H122" s="494">
        <v>4822</v>
      </c>
      <c r="I122" s="494">
        <v>29481</v>
      </c>
      <c r="J122" s="494">
        <v>16424</v>
      </c>
      <c r="K122" s="494">
        <v>36729</v>
      </c>
      <c r="L122" s="494">
        <v>39763</v>
      </c>
      <c r="M122" s="497">
        <v>20675</v>
      </c>
      <c r="N122" s="409"/>
    </row>
    <row r="123" spans="1:14" ht="12" customHeight="1">
      <c r="A123" s="94" t="s">
        <v>306</v>
      </c>
      <c r="B123" s="403">
        <f>((14.06*77386+135.98*46223)/(14.06+135.98))</f>
        <v>49143.23313782991</v>
      </c>
      <c r="C123" s="401">
        <v>58508</v>
      </c>
      <c r="D123" s="401">
        <v>61831</v>
      </c>
      <c r="E123" s="401">
        <v>116745</v>
      </c>
      <c r="F123" s="402">
        <v>13346</v>
      </c>
      <c r="G123" s="172">
        <v>24345</v>
      </c>
      <c r="H123" s="401">
        <v>4933</v>
      </c>
      <c r="I123" s="401">
        <v>29586</v>
      </c>
      <c r="J123" s="401">
        <v>17142</v>
      </c>
      <c r="K123" s="401">
        <v>36027</v>
      </c>
      <c r="L123" s="401">
        <v>43335</v>
      </c>
      <c r="M123" s="396">
        <v>23120</v>
      </c>
      <c r="N123" s="396"/>
    </row>
    <row r="124" spans="1:14" ht="12" customHeight="1">
      <c r="A124" s="492" t="s">
        <v>978</v>
      </c>
      <c r="B124" s="493">
        <f>((14.06*77777+135.98*48469)/(14.06+135.98))</f>
        <v>51215.40415889096</v>
      </c>
      <c r="C124" s="494">
        <v>61636</v>
      </c>
      <c r="D124" s="494">
        <v>63833</v>
      </c>
      <c r="E124" s="494">
        <v>118178</v>
      </c>
      <c r="F124" s="495">
        <v>14123</v>
      </c>
      <c r="G124" s="496">
        <v>24995</v>
      </c>
      <c r="H124" s="494">
        <v>5106</v>
      </c>
      <c r="I124" s="494">
        <v>29723</v>
      </c>
      <c r="J124" s="494">
        <v>16976</v>
      </c>
      <c r="K124" s="494">
        <v>36499</v>
      </c>
      <c r="L124" s="494">
        <v>45814</v>
      </c>
      <c r="M124" s="498">
        <v>24973</v>
      </c>
      <c r="N124" s="396"/>
    </row>
    <row r="125" spans="1:14" ht="12" customHeight="1">
      <c r="A125" s="94" t="s">
        <v>979</v>
      </c>
      <c r="B125" s="403">
        <f>((14.06*74292+135.98*61821)/(14.06+135.98))</f>
        <v>62989.63676352973</v>
      </c>
      <c r="C125" s="401">
        <v>66567</v>
      </c>
      <c r="D125" s="401">
        <v>75196</v>
      </c>
      <c r="E125" s="401">
        <v>128305</v>
      </c>
      <c r="F125" s="402">
        <v>18623</v>
      </c>
      <c r="G125" s="172">
        <v>34041</v>
      </c>
      <c r="H125" s="401">
        <v>6278</v>
      </c>
      <c r="I125" s="401">
        <v>28130</v>
      </c>
      <c r="J125" s="401">
        <v>17245</v>
      </c>
      <c r="K125" s="401">
        <v>34535</v>
      </c>
      <c r="L125" s="401">
        <v>51830</v>
      </c>
      <c r="M125" s="396">
        <v>29612</v>
      </c>
      <c r="N125" s="396"/>
    </row>
    <row r="126" spans="1:14" ht="12" customHeight="1">
      <c r="A126" s="492" t="s">
        <v>980</v>
      </c>
      <c r="B126" s="493">
        <f>((14.06*61314+135.98*63166)/(14.06+135.98))</f>
        <v>62992.45214609437</v>
      </c>
      <c r="C126" s="494">
        <v>56592</v>
      </c>
      <c r="D126" s="494">
        <v>78849</v>
      </c>
      <c r="E126" s="494">
        <v>110233</v>
      </c>
      <c r="F126" s="495">
        <v>21246</v>
      </c>
      <c r="G126" s="496">
        <v>43558</v>
      </c>
      <c r="H126" s="494">
        <v>7939</v>
      </c>
      <c r="I126" s="494">
        <v>17854</v>
      </c>
      <c r="J126" s="494">
        <v>13698</v>
      </c>
      <c r="K126" s="494">
        <v>18810</v>
      </c>
      <c r="L126" s="494">
        <v>46979</v>
      </c>
      <c r="M126" s="498">
        <v>30017</v>
      </c>
      <c r="N126" s="396"/>
    </row>
    <row r="127" spans="1:14" ht="12" customHeight="1">
      <c r="A127" s="94" t="s">
        <v>981</v>
      </c>
      <c r="B127" s="403">
        <f>((14.06*73512+135.98*46642)/(14.06+135.98))</f>
        <v>49159.94321514262</v>
      </c>
      <c r="C127" s="401">
        <v>56704</v>
      </c>
      <c r="D127" s="401">
        <v>62016</v>
      </c>
      <c r="E127" s="401">
        <v>117057</v>
      </c>
      <c r="F127" s="402">
        <v>14572</v>
      </c>
      <c r="G127" s="172">
        <v>26844</v>
      </c>
      <c r="H127" s="401">
        <v>5814</v>
      </c>
      <c r="I127" s="401">
        <v>29869</v>
      </c>
      <c r="J127" s="401">
        <v>17675</v>
      </c>
      <c r="K127" s="401">
        <v>35251</v>
      </c>
      <c r="L127" s="401">
        <v>42337</v>
      </c>
      <c r="M127" s="396">
        <v>23316</v>
      </c>
      <c r="N127" s="396"/>
    </row>
    <row r="128" spans="1:14" ht="12" customHeight="1">
      <c r="A128" s="492" t="s">
        <v>982</v>
      </c>
      <c r="B128" s="493">
        <f>((14.06*72987+135.98*41661)/(14.06+135.98))</f>
        <v>44596.50759797387</v>
      </c>
      <c r="C128" s="494">
        <v>53146</v>
      </c>
      <c r="D128" s="494">
        <v>57491</v>
      </c>
      <c r="E128" s="494">
        <v>110103</v>
      </c>
      <c r="F128" s="495">
        <v>12308</v>
      </c>
      <c r="G128" s="496">
        <v>23211</v>
      </c>
      <c r="H128" s="494">
        <v>5625</v>
      </c>
      <c r="I128" s="494">
        <v>29455</v>
      </c>
      <c r="J128" s="494">
        <v>17973</v>
      </c>
      <c r="K128" s="494">
        <v>35534</v>
      </c>
      <c r="L128" s="494">
        <v>39906</v>
      </c>
      <c r="M128" s="498">
        <v>21146</v>
      </c>
      <c r="N128" s="396"/>
    </row>
    <row r="129" spans="1:14" ht="12" customHeight="1">
      <c r="A129" s="94" t="s">
        <v>983</v>
      </c>
      <c r="B129" s="403">
        <f>((14.06*72535+135.98*38487)/(14.06+135.98))</f>
        <v>41677.581711543586</v>
      </c>
      <c r="C129" s="401">
        <v>51505</v>
      </c>
      <c r="D129" s="401">
        <v>54057</v>
      </c>
      <c r="E129" s="401">
        <v>112258</v>
      </c>
      <c r="F129" s="402">
        <v>10947</v>
      </c>
      <c r="G129" s="172">
        <v>21514</v>
      </c>
      <c r="H129" s="401">
        <v>5098</v>
      </c>
      <c r="I129" s="401">
        <v>31330</v>
      </c>
      <c r="J129" s="401">
        <v>17624</v>
      </c>
      <c r="K129" s="401">
        <v>37349</v>
      </c>
      <c r="L129" s="401">
        <v>37320</v>
      </c>
      <c r="M129" s="396">
        <v>19263</v>
      </c>
      <c r="N129" s="396"/>
    </row>
    <row r="130" spans="1:14" ht="12" customHeight="1">
      <c r="A130" s="492" t="s">
        <v>984</v>
      </c>
      <c r="B130" s="493">
        <f>((14.06*69577+135.98*37671)/(14.06+135.98))</f>
        <v>40660.858437749936</v>
      </c>
      <c r="C130" s="494">
        <v>49663</v>
      </c>
      <c r="D130" s="494">
        <v>53494</v>
      </c>
      <c r="E130" s="494">
        <v>104639</v>
      </c>
      <c r="F130" s="495">
        <v>11812</v>
      </c>
      <c r="G130" s="496">
        <v>23207</v>
      </c>
      <c r="H130" s="494">
        <v>7818</v>
      </c>
      <c r="I130" s="494">
        <v>27491</v>
      </c>
      <c r="J130" s="494">
        <v>17874</v>
      </c>
      <c r="K130" s="494">
        <v>33203</v>
      </c>
      <c r="L130" s="494">
        <v>36521</v>
      </c>
      <c r="M130" s="498">
        <v>18674</v>
      </c>
      <c r="N130" s="396"/>
    </row>
    <row r="131" spans="1:14" ht="12" customHeight="1">
      <c r="A131" s="94"/>
      <c r="B131" s="403"/>
      <c r="C131" s="401"/>
      <c r="D131" s="401"/>
      <c r="E131" s="401"/>
      <c r="F131" s="402"/>
      <c r="G131" s="172"/>
      <c r="H131" s="401"/>
      <c r="I131" s="401"/>
      <c r="J131" s="401"/>
      <c r="K131" s="401"/>
      <c r="L131" s="401"/>
      <c r="M131" s="396"/>
      <c r="N131" s="396"/>
    </row>
    <row r="132" spans="1:14" ht="12" customHeight="1">
      <c r="A132" s="484">
        <v>2006</v>
      </c>
      <c r="B132" s="485">
        <f aca="true" t="shared" si="9" ref="B132:M132">ROUND((B133*31+B134*28+B135*31+B136*30+B137*31+B138*30+B139*31+B140*31+B141*30+B142*31+B143*30+B144*31)/365,0)</f>
        <v>49691</v>
      </c>
      <c r="C132" s="485">
        <f t="shared" si="9"/>
        <v>56946</v>
      </c>
      <c r="D132" s="485">
        <f t="shared" si="9"/>
        <v>63683</v>
      </c>
      <c r="E132" s="485">
        <f t="shared" si="9"/>
        <v>115607</v>
      </c>
      <c r="F132" s="485">
        <f t="shared" si="9"/>
        <v>14171</v>
      </c>
      <c r="G132" s="485">
        <f t="shared" si="9"/>
        <v>28318</v>
      </c>
      <c r="H132" s="485">
        <f t="shared" si="9"/>
        <v>6176</v>
      </c>
      <c r="I132" s="485">
        <f t="shared" si="9"/>
        <v>30527</v>
      </c>
      <c r="J132" s="485">
        <f t="shared" si="9"/>
        <v>18639</v>
      </c>
      <c r="K132" s="485">
        <f t="shared" si="9"/>
        <v>34603</v>
      </c>
      <c r="L132" s="485">
        <f t="shared" si="9"/>
        <v>43871</v>
      </c>
      <c r="M132" s="485">
        <f t="shared" si="9"/>
        <v>24188</v>
      </c>
      <c r="N132" s="302"/>
    </row>
    <row r="133" spans="1:14" ht="12" customHeight="1">
      <c r="A133" s="229" t="s">
        <v>302</v>
      </c>
      <c r="B133" s="408">
        <f>((14.06*66311+135.98*34947)/(14.06+135.98))</f>
        <v>37886.06851506265</v>
      </c>
      <c r="C133" s="408">
        <v>47488</v>
      </c>
      <c r="D133" s="408">
        <v>49364</v>
      </c>
      <c r="E133" s="408">
        <v>107149</v>
      </c>
      <c r="F133" s="407">
        <v>10092</v>
      </c>
      <c r="G133" s="172">
        <v>20383</v>
      </c>
      <c r="H133" s="408">
        <v>6815</v>
      </c>
      <c r="I133" s="408">
        <v>29056</v>
      </c>
      <c r="J133" s="408">
        <v>17280</v>
      </c>
      <c r="K133" s="408">
        <v>33777</v>
      </c>
      <c r="L133" s="408">
        <v>34485</v>
      </c>
      <c r="M133" s="410">
        <v>17303</v>
      </c>
      <c r="N133" s="409"/>
    </row>
    <row r="134" spans="1:14" ht="12" customHeight="1">
      <c r="A134" s="492" t="s">
        <v>303</v>
      </c>
      <c r="B134" s="493">
        <f>((14.06*72723+135.98*38738)/(14.06+135.98))</f>
        <v>41922.67808584377</v>
      </c>
      <c r="C134" s="494">
        <v>51727</v>
      </c>
      <c r="D134" s="494">
        <v>55343</v>
      </c>
      <c r="E134" s="494">
        <v>113010</v>
      </c>
      <c r="F134" s="495">
        <v>10990</v>
      </c>
      <c r="G134" s="496">
        <v>21916</v>
      </c>
      <c r="H134" s="494">
        <v>7743</v>
      </c>
      <c r="I134" s="494">
        <v>32904</v>
      </c>
      <c r="J134" s="494">
        <v>20207</v>
      </c>
      <c r="K134" s="494">
        <v>37070</v>
      </c>
      <c r="L134" s="494">
        <v>39569</v>
      </c>
      <c r="M134" s="497">
        <v>20120</v>
      </c>
      <c r="N134" s="409"/>
    </row>
    <row r="135" spans="1:14" ht="12" customHeight="1">
      <c r="A135" s="229" t="s">
        <v>304</v>
      </c>
      <c r="B135" s="408">
        <f>((14.06*74951+135.98*40458)/(14.06+135.98))</f>
        <v>43690.281924820054</v>
      </c>
      <c r="C135" s="406">
        <v>54593</v>
      </c>
      <c r="D135" s="406">
        <v>59491</v>
      </c>
      <c r="E135" s="406">
        <v>118167</v>
      </c>
      <c r="F135" s="407">
        <v>12011</v>
      </c>
      <c r="G135" s="172">
        <v>24224</v>
      </c>
      <c r="H135" s="406">
        <v>6297</v>
      </c>
      <c r="I135" s="406">
        <v>33697</v>
      </c>
      <c r="J135" s="406">
        <v>19524</v>
      </c>
      <c r="K135" s="406">
        <v>38216</v>
      </c>
      <c r="L135" s="406">
        <v>41424</v>
      </c>
      <c r="M135" s="410">
        <v>21678</v>
      </c>
      <c r="N135" s="409"/>
    </row>
    <row r="136" spans="1:14" ht="12" customHeight="1">
      <c r="A136" s="492" t="s">
        <v>305</v>
      </c>
      <c r="B136" s="493">
        <f>((14.06*72909+135.98*48569)/(14.06+135.98))</f>
        <v>50849.861103705676</v>
      </c>
      <c r="C136" s="494">
        <v>57767</v>
      </c>
      <c r="D136" s="494">
        <v>67620</v>
      </c>
      <c r="E136" s="494">
        <v>113111</v>
      </c>
      <c r="F136" s="495">
        <v>16386</v>
      </c>
      <c r="G136" s="496">
        <v>30690</v>
      </c>
      <c r="H136" s="494">
        <v>5931</v>
      </c>
      <c r="I136" s="494">
        <v>28334</v>
      </c>
      <c r="J136" s="494">
        <v>17582</v>
      </c>
      <c r="K136" s="494">
        <v>32350</v>
      </c>
      <c r="L136" s="494">
        <v>44658</v>
      </c>
      <c r="M136" s="497">
        <v>25401</v>
      </c>
      <c r="N136" s="409"/>
    </row>
    <row r="137" spans="1:14" ht="12" customHeight="1">
      <c r="A137" s="229" t="s">
        <v>306</v>
      </c>
      <c r="B137" s="408">
        <f>((14.06*78629+135.98*47192)/(14.06+135.98))</f>
        <v>50137.90922420688</v>
      </c>
      <c r="C137" s="406">
        <v>59688</v>
      </c>
      <c r="D137" s="406">
        <v>63382</v>
      </c>
      <c r="E137" s="406">
        <v>119842</v>
      </c>
      <c r="F137" s="407">
        <v>13053</v>
      </c>
      <c r="G137" s="172">
        <v>25746</v>
      </c>
      <c r="H137" s="406">
        <v>4357</v>
      </c>
      <c r="I137" s="406">
        <v>33257</v>
      </c>
      <c r="J137" s="406">
        <v>18114</v>
      </c>
      <c r="K137" s="406">
        <v>37973</v>
      </c>
      <c r="L137" s="406">
        <v>44696</v>
      </c>
      <c r="M137" s="405">
        <v>23838</v>
      </c>
      <c r="N137" s="396"/>
    </row>
    <row r="138" spans="1:14" ht="12" customHeight="1">
      <c r="A138" s="492" t="s">
        <v>978</v>
      </c>
      <c r="B138" s="493">
        <f>((14.06*79574+135.98*50392)/(14.06+135.98))</f>
        <v>53126.59690749134</v>
      </c>
      <c r="C138" s="494">
        <v>63509</v>
      </c>
      <c r="D138" s="494">
        <v>67002</v>
      </c>
      <c r="E138" s="494">
        <v>120878</v>
      </c>
      <c r="F138" s="495">
        <v>14411</v>
      </c>
      <c r="G138" s="496">
        <v>27491</v>
      </c>
      <c r="H138" s="494">
        <v>4925</v>
      </c>
      <c r="I138" s="494">
        <v>32848</v>
      </c>
      <c r="J138" s="494">
        <v>18789</v>
      </c>
      <c r="K138" s="494">
        <v>37606</v>
      </c>
      <c r="L138" s="494">
        <v>48334</v>
      </c>
      <c r="M138" s="498">
        <v>26711</v>
      </c>
      <c r="N138" s="396"/>
    </row>
    <row r="139" spans="1:14" ht="12" customHeight="1">
      <c r="A139" s="229" t="s">
        <v>979</v>
      </c>
      <c r="B139" s="408">
        <f>((14.06*81337+135.98*63686)/(14.06+135.98))</f>
        <v>65340.04598773661</v>
      </c>
      <c r="C139" s="406">
        <v>69454</v>
      </c>
      <c r="D139" s="406">
        <v>78570</v>
      </c>
      <c r="E139" s="406">
        <v>130489</v>
      </c>
      <c r="F139" s="407">
        <v>18800</v>
      </c>
      <c r="G139" s="172">
        <v>36857</v>
      </c>
      <c r="H139" s="406">
        <v>6000</v>
      </c>
      <c r="I139" s="406">
        <v>30758</v>
      </c>
      <c r="J139" s="406">
        <v>18693</v>
      </c>
      <c r="K139" s="406">
        <v>35361</v>
      </c>
      <c r="L139" s="406">
        <v>54550</v>
      </c>
      <c r="M139" s="405">
        <v>31619</v>
      </c>
      <c r="N139" s="396"/>
    </row>
    <row r="140" spans="1:14" ht="12" customHeight="1">
      <c r="A140" s="492" t="s">
        <v>980</v>
      </c>
      <c r="B140" s="493">
        <f>((14.06*64190+135.98*65232)/(14.06+135.98))</f>
        <v>65134.35590509198</v>
      </c>
      <c r="C140" s="494">
        <v>58056</v>
      </c>
      <c r="D140" s="494">
        <v>80211</v>
      </c>
      <c r="E140" s="494">
        <v>109800</v>
      </c>
      <c r="F140" s="495">
        <v>21001</v>
      </c>
      <c r="G140" s="496">
        <v>45069</v>
      </c>
      <c r="H140" s="494">
        <v>7833</v>
      </c>
      <c r="I140" s="494">
        <v>18928</v>
      </c>
      <c r="J140" s="494">
        <v>15066</v>
      </c>
      <c r="K140" s="494">
        <v>18843</v>
      </c>
      <c r="L140" s="494">
        <v>49506</v>
      </c>
      <c r="M140" s="498">
        <v>31669</v>
      </c>
      <c r="N140" s="396"/>
    </row>
    <row r="141" spans="1:14" ht="12" customHeight="1">
      <c r="A141" s="229" t="s">
        <v>981</v>
      </c>
      <c r="B141" s="408">
        <f>((14.06*75863+135.98*49348)/(14.06+135.98))</f>
        <v>51832.676752865904</v>
      </c>
      <c r="C141" s="406">
        <v>58778</v>
      </c>
      <c r="D141" s="406">
        <v>65367</v>
      </c>
      <c r="E141" s="406">
        <v>118520</v>
      </c>
      <c r="F141" s="407">
        <v>15128</v>
      </c>
      <c r="G141" s="172">
        <v>29885</v>
      </c>
      <c r="H141" s="406">
        <v>5975</v>
      </c>
      <c r="I141" s="406">
        <v>30426</v>
      </c>
      <c r="J141" s="406">
        <v>18574</v>
      </c>
      <c r="K141" s="406">
        <v>34752</v>
      </c>
      <c r="L141" s="406">
        <v>45018</v>
      </c>
      <c r="M141" s="405">
        <v>25512</v>
      </c>
      <c r="N141" s="396"/>
    </row>
    <row r="142" spans="1:14" ht="12" customHeight="1">
      <c r="A142" s="492" t="s">
        <v>982</v>
      </c>
      <c r="B142" s="493">
        <f>((14.06*78031+135.98*44502)/(14.06+135.98))</f>
        <v>47643.94708077846</v>
      </c>
      <c r="C142" s="494">
        <v>56030</v>
      </c>
      <c r="D142" s="494">
        <v>62109</v>
      </c>
      <c r="E142" s="494">
        <v>115218</v>
      </c>
      <c r="F142" s="495">
        <v>13505</v>
      </c>
      <c r="G142" s="496">
        <v>26708</v>
      </c>
      <c r="H142" s="494">
        <v>5982</v>
      </c>
      <c r="I142" s="494">
        <v>33254</v>
      </c>
      <c r="J142" s="494">
        <v>21000</v>
      </c>
      <c r="K142" s="494">
        <v>37557</v>
      </c>
      <c r="L142" s="494">
        <v>43283</v>
      </c>
      <c r="M142" s="498">
        <v>23371</v>
      </c>
      <c r="N142" s="396"/>
    </row>
    <row r="143" spans="1:14" ht="12" customHeight="1">
      <c r="A143" s="229" t="s">
        <v>983</v>
      </c>
      <c r="B143" s="408">
        <f>((14.06*77885+135.98*41519)/(14.06+135.98))</f>
        <v>44926.797653958936</v>
      </c>
      <c r="C143" s="406">
        <v>54648</v>
      </c>
      <c r="D143" s="406">
        <v>58131</v>
      </c>
      <c r="E143" s="406">
        <v>115747</v>
      </c>
      <c r="F143" s="407">
        <v>11640</v>
      </c>
      <c r="G143" s="172">
        <v>23765</v>
      </c>
      <c r="H143" s="406">
        <v>5263</v>
      </c>
      <c r="I143" s="406">
        <v>34586</v>
      </c>
      <c r="J143" s="406">
        <v>20301</v>
      </c>
      <c r="K143" s="406">
        <v>38745</v>
      </c>
      <c r="L143" s="406">
        <v>41144</v>
      </c>
      <c r="M143" s="405">
        <v>21796</v>
      </c>
      <c r="N143" s="396"/>
    </row>
    <row r="144" spans="1:14" ht="12" customHeight="1">
      <c r="A144" s="492" t="s">
        <v>984</v>
      </c>
      <c r="B144" s="493">
        <f>((14.06*72136+135.98*40110)/(14.06+135.98))</f>
        <v>43111.103439082915</v>
      </c>
      <c r="C144" s="494">
        <v>51331</v>
      </c>
      <c r="D144" s="494">
        <v>56903</v>
      </c>
      <c r="E144" s="494">
        <v>105294</v>
      </c>
      <c r="F144" s="495">
        <v>12758</v>
      </c>
      <c r="G144" s="496">
        <v>26416</v>
      </c>
      <c r="H144" s="494">
        <v>7062</v>
      </c>
      <c r="I144" s="494">
        <v>28633</v>
      </c>
      <c r="J144" s="494">
        <v>18713</v>
      </c>
      <c r="K144" s="494">
        <v>33382</v>
      </c>
      <c r="L144" s="494">
        <v>39486</v>
      </c>
      <c r="M144" s="498">
        <v>20936</v>
      </c>
      <c r="N144" s="396"/>
    </row>
    <row r="145" spans="1:14" ht="12" customHeight="1">
      <c r="A145" s="229"/>
      <c r="B145" s="408"/>
      <c r="C145" s="406"/>
      <c r="D145" s="406"/>
      <c r="E145" s="406"/>
      <c r="F145" s="407"/>
      <c r="G145" s="172"/>
      <c r="H145" s="406"/>
      <c r="I145" s="406"/>
      <c r="J145" s="406"/>
      <c r="K145" s="406"/>
      <c r="L145" s="406"/>
      <c r="M145" s="405"/>
      <c r="N145" s="396"/>
    </row>
    <row r="146" spans="1:14" ht="12" customHeight="1">
      <c r="A146" s="484">
        <v>2007</v>
      </c>
      <c r="B146" s="485">
        <f aca="true" t="shared" si="10" ref="B146:M146">ROUND((B147*31+B148*28+B149*31+B150*30+B151*31+B152*30+B153*31+B154*31+B155*30+B156*31+B157*30+B158*31)/365,0)</f>
        <v>51977</v>
      </c>
      <c r="C146" s="485">
        <f t="shared" si="10"/>
        <v>59452</v>
      </c>
      <c r="D146" s="485">
        <f t="shared" si="10"/>
        <v>66218</v>
      </c>
      <c r="E146" s="485">
        <f t="shared" si="10"/>
        <v>118519</v>
      </c>
      <c r="F146" s="485">
        <f t="shared" si="10"/>
        <v>14395</v>
      </c>
      <c r="G146" s="485">
        <f t="shared" si="10"/>
        <v>29249</v>
      </c>
      <c r="H146" s="485">
        <f t="shared" si="10"/>
        <v>6425</v>
      </c>
      <c r="I146" s="485">
        <f t="shared" si="10"/>
        <v>33300</v>
      </c>
      <c r="J146" s="485">
        <f t="shared" si="10"/>
        <v>20848</v>
      </c>
      <c r="K146" s="485">
        <f t="shared" si="10"/>
        <v>35699</v>
      </c>
      <c r="L146" s="485">
        <f t="shared" si="10"/>
        <v>46491</v>
      </c>
      <c r="M146" s="485">
        <f t="shared" si="10"/>
        <v>26370</v>
      </c>
      <c r="N146" s="302"/>
    </row>
    <row r="147" spans="1:14" ht="12" customHeight="1">
      <c r="A147" s="266" t="s">
        <v>302</v>
      </c>
      <c r="B147" s="403">
        <f>((14.06*73424+135.98*38846)/(14.06+135.98))</f>
        <v>42086.247134097575</v>
      </c>
      <c r="C147" s="401">
        <v>51843</v>
      </c>
      <c r="D147" s="401">
        <v>54121</v>
      </c>
      <c r="E147" s="401">
        <v>111179</v>
      </c>
      <c r="F147" s="402">
        <v>10397</v>
      </c>
      <c r="G147" s="172">
        <v>22893</v>
      </c>
      <c r="H147" s="401">
        <v>6014</v>
      </c>
      <c r="I147" s="401">
        <v>32907</v>
      </c>
      <c r="J147" s="401">
        <v>19315</v>
      </c>
      <c r="K147" s="401">
        <v>35927</v>
      </c>
      <c r="L147" s="401">
        <v>38483</v>
      </c>
      <c r="M147" s="396">
        <v>19898</v>
      </c>
      <c r="N147" s="396"/>
    </row>
    <row r="148" spans="1:14" ht="12" customHeight="1">
      <c r="A148" s="492" t="s">
        <v>303</v>
      </c>
      <c r="B148" s="493">
        <f>((14.06*77175+135.98*40884)/(14.06+135.98))</f>
        <v>44284.769528125835</v>
      </c>
      <c r="C148" s="494">
        <v>54335</v>
      </c>
      <c r="D148" s="494">
        <v>58163</v>
      </c>
      <c r="E148" s="494">
        <v>115669</v>
      </c>
      <c r="F148" s="495">
        <v>11260</v>
      </c>
      <c r="G148" s="496">
        <v>23538</v>
      </c>
      <c r="H148" s="494">
        <v>7219</v>
      </c>
      <c r="I148" s="494">
        <v>35653</v>
      </c>
      <c r="J148" s="494">
        <v>21900</v>
      </c>
      <c r="K148" s="494">
        <v>38668</v>
      </c>
      <c r="L148" s="494">
        <v>42443</v>
      </c>
      <c r="M148" s="498">
        <v>21989</v>
      </c>
      <c r="N148" s="396"/>
    </row>
    <row r="149" spans="1:14" ht="12" customHeight="1">
      <c r="A149" s="266" t="s">
        <v>304</v>
      </c>
      <c r="B149" s="403">
        <f>((14.06*80040+135.98*43768)/(14.06+135.98))</f>
        <v>47166.98906958145</v>
      </c>
      <c r="C149" s="401">
        <v>58273</v>
      </c>
      <c r="D149" s="401">
        <v>63177</v>
      </c>
      <c r="E149" s="401">
        <v>124606</v>
      </c>
      <c r="F149" s="402">
        <v>12338</v>
      </c>
      <c r="G149" s="172">
        <v>26493</v>
      </c>
      <c r="H149" s="401">
        <v>6205</v>
      </c>
      <c r="I149" s="401">
        <v>36429</v>
      </c>
      <c r="J149" s="401">
        <v>21510</v>
      </c>
      <c r="K149" s="401">
        <v>39174</v>
      </c>
      <c r="L149" s="401">
        <v>48189</v>
      </c>
      <c r="M149" s="396">
        <v>28246</v>
      </c>
      <c r="N149" s="396"/>
    </row>
    <row r="150" spans="1:14" ht="12" customHeight="1">
      <c r="A150" s="492" t="s">
        <v>305</v>
      </c>
      <c r="B150" s="493">
        <f>((14.06*76405+135.98*49291)/(14.06+135.98))</f>
        <v>51831.80805118635</v>
      </c>
      <c r="C150" s="494">
        <v>58347</v>
      </c>
      <c r="D150" s="494">
        <v>67573</v>
      </c>
      <c r="E150" s="494">
        <v>114892</v>
      </c>
      <c r="F150" s="495">
        <v>15776</v>
      </c>
      <c r="G150" s="496">
        <v>30831</v>
      </c>
      <c r="H150" s="494">
        <v>6722</v>
      </c>
      <c r="I150" s="494">
        <v>31551</v>
      </c>
      <c r="J150" s="494">
        <v>20043</v>
      </c>
      <c r="K150" s="494">
        <v>33630</v>
      </c>
      <c r="L150" s="494">
        <v>45216</v>
      </c>
      <c r="M150" s="498">
        <v>25878</v>
      </c>
      <c r="N150" s="396"/>
    </row>
    <row r="151" spans="1:14" ht="12" customHeight="1">
      <c r="A151" s="266" t="s">
        <v>306</v>
      </c>
      <c r="B151" s="403">
        <f>((14.06*82590+135.98*47982)/(14.06+135.98))</f>
        <v>51225.05838443082</v>
      </c>
      <c r="C151" s="401">
        <v>61787</v>
      </c>
      <c r="D151" s="401">
        <v>65386</v>
      </c>
      <c r="E151" s="401">
        <v>122562</v>
      </c>
      <c r="F151" s="402">
        <v>13451</v>
      </c>
      <c r="G151" s="172">
        <v>26642</v>
      </c>
      <c r="H151" s="401">
        <v>4614</v>
      </c>
      <c r="I151" s="401">
        <v>36406</v>
      </c>
      <c r="J151" s="401">
        <v>20332</v>
      </c>
      <c r="K151" s="401">
        <v>39539</v>
      </c>
      <c r="L151" s="401">
        <v>46433</v>
      </c>
      <c r="M151" s="396">
        <v>25526</v>
      </c>
      <c r="N151" s="396"/>
    </row>
    <row r="152" spans="1:14" ht="12" customHeight="1">
      <c r="A152" s="492" t="s">
        <v>978</v>
      </c>
      <c r="B152" s="493">
        <f>((14.06*84959+135.98*53008)/(14.06+135.98))</f>
        <v>56002.0753132498</v>
      </c>
      <c r="C152" s="494">
        <v>66928</v>
      </c>
      <c r="D152" s="494">
        <v>70851</v>
      </c>
      <c r="E152" s="494">
        <v>125296</v>
      </c>
      <c r="F152" s="495">
        <v>15125</v>
      </c>
      <c r="G152" s="496">
        <v>28956</v>
      </c>
      <c r="H152" s="494">
        <v>5484</v>
      </c>
      <c r="I152" s="494">
        <v>35775</v>
      </c>
      <c r="J152" s="494">
        <v>21187</v>
      </c>
      <c r="K152" s="494">
        <v>38429</v>
      </c>
      <c r="L152" s="494">
        <v>51983</v>
      </c>
      <c r="M152" s="498">
        <v>29430</v>
      </c>
      <c r="N152" s="396"/>
    </row>
    <row r="153" spans="1:14" ht="12" customHeight="1">
      <c r="A153" s="266" t="s">
        <v>979</v>
      </c>
      <c r="B153" s="403">
        <f>((14.06*88003+135.98*65379)/(14.06+135.98))</f>
        <v>67499.05758464409</v>
      </c>
      <c r="C153" s="401">
        <v>71091</v>
      </c>
      <c r="D153" s="401">
        <v>80726</v>
      </c>
      <c r="E153" s="401">
        <v>133228</v>
      </c>
      <c r="F153" s="402">
        <v>18914</v>
      </c>
      <c r="G153" s="172">
        <v>37186</v>
      </c>
      <c r="H153" s="401">
        <v>6422</v>
      </c>
      <c r="I153" s="401">
        <v>33743</v>
      </c>
      <c r="J153" s="401">
        <v>21305</v>
      </c>
      <c r="K153" s="401">
        <v>36580</v>
      </c>
      <c r="L153" s="401">
        <v>56580</v>
      </c>
      <c r="M153" s="396">
        <v>33391</v>
      </c>
      <c r="N153" s="396"/>
    </row>
    <row r="154" spans="1:14" ht="12" customHeight="1">
      <c r="A154" s="492" t="s">
        <v>980</v>
      </c>
      <c r="B154" s="493">
        <f>((14.06*69361+135.98*67941)/(14.06+135.98))</f>
        <v>68074.0658491069</v>
      </c>
      <c r="C154" s="494">
        <v>61183</v>
      </c>
      <c r="D154" s="494">
        <v>82938</v>
      </c>
      <c r="E154" s="494">
        <v>112604</v>
      </c>
      <c r="F154" s="495">
        <v>21491</v>
      </c>
      <c r="G154" s="496">
        <v>45939</v>
      </c>
      <c r="H154" s="494">
        <v>8258</v>
      </c>
      <c r="I154" s="494">
        <v>21556</v>
      </c>
      <c r="J154" s="494">
        <v>16917</v>
      </c>
      <c r="K154" s="494">
        <v>19667</v>
      </c>
      <c r="L154" s="494">
        <v>52259</v>
      </c>
      <c r="M154" s="498">
        <v>33394</v>
      </c>
      <c r="N154" s="396"/>
    </row>
    <row r="155" spans="1:14" ht="12" customHeight="1">
      <c r="A155" s="266" t="s">
        <v>981</v>
      </c>
      <c r="B155" s="403">
        <f>((14.06*79888+135.98*51680)/(14.06+135.98))</f>
        <v>54323.32498000533</v>
      </c>
      <c r="C155" s="401">
        <v>61129</v>
      </c>
      <c r="D155" s="401">
        <v>67447</v>
      </c>
      <c r="E155" s="401">
        <v>119402</v>
      </c>
      <c r="F155" s="402">
        <v>15435</v>
      </c>
      <c r="G155" s="172">
        <v>30036</v>
      </c>
      <c r="H155" s="401">
        <v>6327</v>
      </c>
      <c r="I155" s="401">
        <v>31642</v>
      </c>
      <c r="J155" s="401">
        <v>20400</v>
      </c>
      <c r="K155" s="401">
        <v>34231</v>
      </c>
      <c r="L155" s="401">
        <v>47119</v>
      </c>
      <c r="M155" s="396">
        <v>27129</v>
      </c>
      <c r="N155" s="396"/>
    </row>
    <row r="156" spans="1:14" ht="12" customHeight="1">
      <c r="A156" s="492" t="s">
        <v>982</v>
      </c>
      <c r="B156" s="493">
        <f>((14.06*83002+135.98*46199)/(14.06+135.98))</f>
        <v>49647.74820047987</v>
      </c>
      <c r="C156" s="494">
        <v>58628</v>
      </c>
      <c r="D156" s="494">
        <v>64791</v>
      </c>
      <c r="E156" s="494">
        <v>119080</v>
      </c>
      <c r="F156" s="495">
        <v>13844</v>
      </c>
      <c r="G156" s="496">
        <v>26927</v>
      </c>
      <c r="H156" s="494">
        <v>5890</v>
      </c>
      <c r="I156" s="494">
        <v>37134</v>
      </c>
      <c r="J156" s="494">
        <v>23419</v>
      </c>
      <c r="K156" s="494">
        <v>39824</v>
      </c>
      <c r="L156" s="494">
        <v>45695</v>
      </c>
      <c r="M156" s="498">
        <v>25323</v>
      </c>
      <c r="N156" s="396"/>
    </row>
    <row r="157" spans="1:14" ht="12" customHeight="1">
      <c r="A157" s="266" t="s">
        <v>983</v>
      </c>
      <c r="B157" s="403">
        <f>((14.06*81881+135.98*43814)/(14.06+135.98))</f>
        <v>47381.19554785391</v>
      </c>
      <c r="C157" s="401">
        <v>56872</v>
      </c>
      <c r="D157" s="401">
        <v>62341</v>
      </c>
      <c r="E157" s="401">
        <v>118174</v>
      </c>
      <c r="F157" s="402">
        <v>12321</v>
      </c>
      <c r="G157" s="172">
        <v>25704</v>
      </c>
      <c r="H157" s="401">
        <v>5855</v>
      </c>
      <c r="I157" s="401">
        <v>36471</v>
      </c>
      <c r="J157" s="401">
        <v>22987</v>
      </c>
      <c r="K157" s="401">
        <v>38708</v>
      </c>
      <c r="L157" s="401">
        <v>43758</v>
      </c>
      <c r="M157" s="396">
        <v>24074</v>
      </c>
      <c r="N157" s="396"/>
    </row>
    <row r="158" spans="1:14" ht="12" customHeight="1">
      <c r="A158" s="492" t="s">
        <v>984</v>
      </c>
      <c r="B158" s="493">
        <f>((14.06*75866+135.98*40160)/(14.06+135.98))</f>
        <v>43505.95014662757</v>
      </c>
      <c r="C158" s="494">
        <v>52690</v>
      </c>
      <c r="D158" s="494">
        <v>56425</v>
      </c>
      <c r="E158" s="494">
        <v>105377</v>
      </c>
      <c r="F158" s="495">
        <v>12123</v>
      </c>
      <c r="G158" s="496">
        <v>25243</v>
      </c>
      <c r="H158" s="494">
        <v>8123</v>
      </c>
      <c r="I158" s="494">
        <v>30636</v>
      </c>
      <c r="J158" s="494">
        <v>21006</v>
      </c>
      <c r="K158" s="494">
        <v>34366</v>
      </c>
      <c r="L158" s="494">
        <v>39406</v>
      </c>
      <c r="M158" s="498">
        <v>21777</v>
      </c>
      <c r="N158" s="396"/>
    </row>
    <row r="159" spans="1:14" ht="12" customHeight="1">
      <c r="A159" s="266"/>
      <c r="B159" s="403"/>
      <c r="C159" s="401"/>
      <c r="D159" s="401"/>
      <c r="E159" s="401"/>
      <c r="F159" s="402"/>
      <c r="G159" s="172"/>
      <c r="H159" s="401"/>
      <c r="I159" s="401"/>
      <c r="J159" s="401"/>
      <c r="K159" s="401"/>
      <c r="L159" s="401"/>
      <c r="M159" s="396"/>
      <c r="N159" s="396"/>
    </row>
    <row r="160" spans="1:14" ht="12" customHeight="1">
      <c r="A160" s="484">
        <v>2008</v>
      </c>
      <c r="B160" s="485">
        <f>ROUND((B161*31+B162*29+B163*31+B164*30+B165*31+B166*30+B167*31+B168*31+B169*30+B170*31+B171*30+B172*31)/366,0)</f>
        <v>49760</v>
      </c>
      <c r="C160" s="485">
        <f>ROUND((C161*31+C162*29+C163*31+C164*30+C165*31+C166*30+C167*31+C168*31+C169*30+C170*31+C171*30+C172*31)/366,0)</f>
        <v>57345</v>
      </c>
      <c r="D160" s="485">
        <f>ROUND((D161*31+D162*29+D163*31+D164*30+D165*31+D166*30+D167*31+D168*31+D169*30+D170*31+D171*30+D172*31)/366,0)</f>
        <v>61694</v>
      </c>
      <c r="E160" s="485">
        <f>ROUND((E161*31+E162*29+E163*31+E164*30+E165*31+E166*30+E167*31+E168*31+E169*30+E170*31+E171*30+E172*31)/366,0)</f>
        <v>114760</v>
      </c>
      <c r="F160" s="485">
        <f>ROUND((F161*31+F162*29+F163*31+F164*30+F165*31+F166*30+F167*31+F168*31+F169*30+F170*31+F171*30+F172*31)/366,0)</f>
        <v>13061</v>
      </c>
      <c r="G160" s="487">
        <v>24688</v>
      </c>
      <c r="H160" s="485">
        <f aca="true" t="shared" si="11" ref="H160:M160">ROUND((H161*31+H162*29+H163*31+H164*30+H165*31+H166*30+H167*31+H168*31+H169*30+H170*31+H171*30+H172*31)/366,0)</f>
        <v>6853</v>
      </c>
      <c r="I160" s="485">
        <f t="shared" si="11"/>
        <v>33644</v>
      </c>
      <c r="J160" s="485">
        <f t="shared" si="11"/>
        <v>20239</v>
      </c>
      <c r="K160" s="485">
        <f t="shared" si="11"/>
        <v>35426</v>
      </c>
      <c r="L160" s="485">
        <f t="shared" si="11"/>
        <v>41367</v>
      </c>
      <c r="M160" s="485">
        <f t="shared" si="11"/>
        <v>23631</v>
      </c>
      <c r="N160" s="302"/>
    </row>
    <row r="161" spans="1:14" ht="12" customHeight="1">
      <c r="A161" s="266" t="s">
        <v>302</v>
      </c>
      <c r="B161" s="403">
        <f>((14.06*77544+135.98*39423)/(14.06+135.98))</f>
        <v>42995.25579845375</v>
      </c>
      <c r="C161" s="401">
        <v>53270</v>
      </c>
      <c r="D161" s="401">
        <v>54672</v>
      </c>
      <c r="E161" s="401">
        <v>113058</v>
      </c>
      <c r="F161" s="402">
        <v>10562</v>
      </c>
      <c r="G161" s="267">
        <v>21279</v>
      </c>
      <c r="H161" s="401">
        <v>7693</v>
      </c>
      <c r="I161" s="401">
        <v>35285</v>
      </c>
      <c r="J161" s="401">
        <v>21991</v>
      </c>
      <c r="K161" s="401">
        <v>37061</v>
      </c>
      <c r="L161" s="401">
        <v>37894</v>
      </c>
      <c r="M161" s="396">
        <v>20695</v>
      </c>
      <c r="N161" s="396"/>
    </row>
    <row r="162" spans="1:14" ht="12" customHeight="1">
      <c r="A162" s="492" t="s">
        <v>303</v>
      </c>
      <c r="B162" s="493">
        <f>((14.06*81150+135.98*41892)/(14.06+135.98))</f>
        <v>45570.80218608371</v>
      </c>
      <c r="C162" s="494">
        <v>55650</v>
      </c>
      <c r="D162" s="494">
        <v>58811</v>
      </c>
      <c r="E162" s="494">
        <v>118178</v>
      </c>
      <c r="F162" s="495">
        <v>11283</v>
      </c>
      <c r="G162" s="499">
        <v>21764</v>
      </c>
      <c r="H162" s="494">
        <v>7780</v>
      </c>
      <c r="I162" s="494">
        <v>37597</v>
      </c>
      <c r="J162" s="494">
        <v>23611</v>
      </c>
      <c r="K162" s="494">
        <v>39697</v>
      </c>
      <c r="L162" s="494">
        <v>41404</v>
      </c>
      <c r="M162" s="498">
        <v>22976</v>
      </c>
      <c r="N162" s="396"/>
    </row>
    <row r="163" spans="1:14" ht="12" customHeight="1">
      <c r="A163" s="266" t="s">
        <v>304</v>
      </c>
      <c r="B163" s="403">
        <f>((14.06*76665+135.98*44642)/(14.06+135.98))</f>
        <v>47642.82231404959</v>
      </c>
      <c r="C163" s="401">
        <v>55905</v>
      </c>
      <c r="D163" s="401">
        <v>63726</v>
      </c>
      <c r="E163" s="401">
        <v>114600</v>
      </c>
      <c r="F163" s="402">
        <v>14028</v>
      </c>
      <c r="G163" s="267">
        <v>26757</v>
      </c>
      <c r="H163" s="401">
        <v>8036</v>
      </c>
      <c r="I163" s="401">
        <v>32428</v>
      </c>
      <c r="J163" s="401">
        <v>21751</v>
      </c>
      <c r="K163" s="401">
        <v>34202</v>
      </c>
      <c r="L163" s="401">
        <v>42197</v>
      </c>
      <c r="M163" s="396">
        <v>25057</v>
      </c>
      <c r="N163" s="396"/>
    </row>
    <row r="164" spans="1:14" ht="12" customHeight="1">
      <c r="A164" s="492" t="s">
        <v>305</v>
      </c>
      <c r="B164" s="493">
        <f>((14.06*84649+135.98*46430)/(14.06+135.98))</f>
        <v>50011.439216209015</v>
      </c>
      <c r="C164" s="494">
        <v>59744</v>
      </c>
      <c r="D164" s="494">
        <v>62052</v>
      </c>
      <c r="E164" s="494">
        <v>121661</v>
      </c>
      <c r="F164" s="495">
        <v>11880</v>
      </c>
      <c r="G164" s="499">
        <v>22467</v>
      </c>
      <c r="H164" s="494">
        <v>5147</v>
      </c>
      <c r="I164" s="494">
        <v>37667</v>
      </c>
      <c r="J164" s="494">
        <v>21646</v>
      </c>
      <c r="K164" s="494">
        <v>40392</v>
      </c>
      <c r="L164" s="494">
        <v>42659</v>
      </c>
      <c r="M164" s="498">
        <v>23869</v>
      </c>
      <c r="N164" s="396"/>
    </row>
    <row r="165" spans="1:14" ht="12" customHeight="1">
      <c r="A165" s="266" t="s">
        <v>306</v>
      </c>
      <c r="B165" s="403">
        <f>((14.06*79617+135.98*47282)/(14.06+135.98))</f>
        <v>50312.059317515326</v>
      </c>
      <c r="C165" s="401">
        <v>57786</v>
      </c>
      <c r="D165" s="401">
        <v>61034</v>
      </c>
      <c r="E165" s="401">
        <v>116657</v>
      </c>
      <c r="F165" s="402">
        <v>12135</v>
      </c>
      <c r="G165" s="267">
        <v>23093</v>
      </c>
      <c r="H165" s="401">
        <v>5365</v>
      </c>
      <c r="I165" s="401">
        <v>34542</v>
      </c>
      <c r="J165" s="401">
        <v>19809</v>
      </c>
      <c r="K165" s="401">
        <v>36870</v>
      </c>
      <c r="L165" s="401">
        <v>42129</v>
      </c>
      <c r="M165" s="396">
        <v>24176</v>
      </c>
      <c r="N165" s="396"/>
    </row>
    <row r="166" spans="1:14" ht="12" customHeight="1">
      <c r="A166" s="492" t="s">
        <v>978</v>
      </c>
      <c r="B166" s="493">
        <f>((14.06*80242+135.98*48008)/(14.06+135.98))</f>
        <v>51028.59477472674</v>
      </c>
      <c r="C166" s="494">
        <v>61126</v>
      </c>
      <c r="D166" s="494">
        <v>62690</v>
      </c>
      <c r="E166" s="494">
        <v>113538</v>
      </c>
      <c r="F166" s="495">
        <v>13497</v>
      </c>
      <c r="G166" s="499">
        <v>23264</v>
      </c>
      <c r="H166" s="494">
        <v>5588</v>
      </c>
      <c r="I166" s="494">
        <v>33772</v>
      </c>
      <c r="J166" s="494">
        <v>18972</v>
      </c>
      <c r="K166" s="494">
        <v>36206</v>
      </c>
      <c r="L166" s="494">
        <v>45570</v>
      </c>
      <c r="M166" s="498">
        <v>26345</v>
      </c>
      <c r="N166" s="396"/>
    </row>
    <row r="167" spans="1:14" ht="12" customHeight="1">
      <c r="A167" s="266" t="s">
        <v>979</v>
      </c>
      <c r="B167" s="403">
        <f>((14.06*88010+135.98*62305)/(14.06+135.98))</f>
        <v>64713.77299386829</v>
      </c>
      <c r="C167" s="401">
        <v>68500</v>
      </c>
      <c r="D167" s="401">
        <v>75839</v>
      </c>
      <c r="E167" s="401">
        <v>130436</v>
      </c>
      <c r="F167" s="402">
        <v>17376</v>
      </c>
      <c r="G167" s="267">
        <v>31241</v>
      </c>
      <c r="H167" s="401">
        <v>6514</v>
      </c>
      <c r="I167" s="401">
        <v>35377</v>
      </c>
      <c r="J167" s="401">
        <v>20517</v>
      </c>
      <c r="K167" s="401">
        <v>37089</v>
      </c>
      <c r="L167" s="401">
        <v>43515</v>
      </c>
      <c r="M167" s="396">
        <v>24935</v>
      </c>
      <c r="N167" s="396"/>
    </row>
    <row r="168" spans="1:14" ht="12" customHeight="1">
      <c r="A168" s="492" t="s">
        <v>980</v>
      </c>
      <c r="B168" s="493">
        <f>((14.06*66589+135.98*66719)/(14.06+135.98))</f>
        <v>66706.81791522261</v>
      </c>
      <c r="C168" s="494">
        <v>59497</v>
      </c>
      <c r="D168" s="494">
        <v>80468</v>
      </c>
      <c r="E168" s="494">
        <v>108787</v>
      </c>
      <c r="F168" s="495">
        <v>20869</v>
      </c>
      <c r="G168" s="499">
        <v>41427</v>
      </c>
      <c r="H168" s="494">
        <v>8612</v>
      </c>
      <c r="I168" s="494">
        <v>20441</v>
      </c>
      <c r="J168" s="494">
        <v>15986</v>
      </c>
      <c r="K168" s="494">
        <v>18145</v>
      </c>
      <c r="L168" s="494">
        <v>48358</v>
      </c>
      <c r="M168" s="498">
        <v>31927</v>
      </c>
      <c r="N168" s="396"/>
    </row>
    <row r="169" spans="1:14" ht="12" customHeight="1">
      <c r="A169" s="266" t="s">
        <v>981</v>
      </c>
      <c r="B169" s="403">
        <f>((14.06*78565+135.98*46726)/(14.06+135.98))</f>
        <v>49709.57997867236</v>
      </c>
      <c r="C169" s="401">
        <v>58238</v>
      </c>
      <c r="D169" s="401">
        <v>60760</v>
      </c>
      <c r="E169" s="401">
        <v>115822</v>
      </c>
      <c r="F169" s="402">
        <v>13667</v>
      </c>
      <c r="G169" s="267">
        <v>23953</v>
      </c>
      <c r="H169" s="401">
        <v>6249</v>
      </c>
      <c r="I169" s="401">
        <v>33048</v>
      </c>
      <c r="J169" s="401">
        <v>18993</v>
      </c>
      <c r="K169" s="401">
        <v>34219</v>
      </c>
      <c r="L169" s="401">
        <v>41788</v>
      </c>
      <c r="M169" s="396">
        <v>23964</v>
      </c>
      <c r="N169" s="396"/>
    </row>
    <row r="170" spans="1:14" ht="12" customHeight="1">
      <c r="A170" s="492" t="s">
        <v>982</v>
      </c>
      <c r="B170" s="493">
        <f>((14.06*80858+135.98*41892)/(14.06+135.98))</f>
        <v>45543.43934950679</v>
      </c>
      <c r="C170" s="494">
        <v>54853</v>
      </c>
      <c r="D170" s="494">
        <v>56576</v>
      </c>
      <c r="E170" s="494">
        <v>114809</v>
      </c>
      <c r="F170" s="495">
        <v>11209</v>
      </c>
      <c r="G170" s="499">
        <v>21273</v>
      </c>
      <c r="H170" s="494">
        <v>5914</v>
      </c>
      <c r="I170" s="494">
        <v>37059</v>
      </c>
      <c r="J170" s="494">
        <v>20748</v>
      </c>
      <c r="K170" s="494">
        <v>39203</v>
      </c>
      <c r="L170" s="494">
        <v>39494</v>
      </c>
      <c r="M170" s="498">
        <v>21487</v>
      </c>
      <c r="N170" s="396"/>
    </row>
    <row r="171" spans="1:14" ht="12" customHeight="1">
      <c r="A171" s="266" t="s">
        <v>983</v>
      </c>
      <c r="B171" s="403">
        <f>((14.06*77317+135.98*38336)/(14.06+135.98))</f>
        <v>41988.84497467342</v>
      </c>
      <c r="C171" s="401">
        <v>53029</v>
      </c>
      <c r="D171" s="401">
        <v>52361</v>
      </c>
      <c r="E171" s="401">
        <v>108712</v>
      </c>
      <c r="F171" s="402">
        <v>9566</v>
      </c>
      <c r="G171" s="267">
        <v>18738</v>
      </c>
      <c r="H171" s="401">
        <v>6533</v>
      </c>
      <c r="I171" s="401">
        <v>34650</v>
      </c>
      <c r="J171" s="401">
        <v>19282</v>
      </c>
      <c r="K171" s="401">
        <v>37200</v>
      </c>
      <c r="L171" s="401">
        <v>36442</v>
      </c>
      <c r="M171" s="396">
        <v>19547</v>
      </c>
      <c r="N171" s="396"/>
    </row>
    <row r="172" spans="1:14" ht="12" customHeight="1">
      <c r="A172" s="492" t="s">
        <v>984</v>
      </c>
      <c r="B172" s="493">
        <f>((14.06*74255+135.98*36922)/(14.06+135.98))</f>
        <v>40420.413623033855</v>
      </c>
      <c r="C172" s="494">
        <v>50526</v>
      </c>
      <c r="D172" s="494">
        <v>50867</v>
      </c>
      <c r="E172" s="494">
        <v>101108</v>
      </c>
      <c r="F172" s="495">
        <v>10432</v>
      </c>
      <c r="G172" s="499">
        <v>20474</v>
      </c>
      <c r="H172" s="494">
        <v>8736</v>
      </c>
      <c r="I172" s="494">
        <v>32268</v>
      </c>
      <c r="J172" s="494">
        <v>19708</v>
      </c>
      <c r="K172" s="494">
        <v>35304</v>
      </c>
      <c r="L172" s="494">
        <v>34988</v>
      </c>
      <c r="M172" s="498">
        <v>18524</v>
      </c>
      <c r="N172" s="396"/>
    </row>
    <row r="173" spans="1:14" ht="12" customHeight="1">
      <c r="A173" s="266"/>
      <c r="B173" s="403"/>
      <c r="C173" s="401"/>
      <c r="D173" s="401"/>
      <c r="E173" s="401"/>
      <c r="F173" s="402"/>
      <c r="G173" s="172"/>
      <c r="H173" s="401"/>
      <c r="I173" s="401"/>
      <c r="J173" s="401"/>
      <c r="K173" s="401"/>
      <c r="L173" s="401"/>
      <c r="M173" s="396"/>
      <c r="N173" s="396"/>
    </row>
    <row r="174" spans="1:14" ht="12" customHeight="1">
      <c r="A174" s="484">
        <v>2009</v>
      </c>
      <c r="B174" s="485">
        <f>ROUND((B175*31+B176*28+B177*31+B178*30+B179*31+B180*30+B181*31+B182*31+B183*30+B184*31+B185*30+B186*31)/365,0)</f>
        <v>47056</v>
      </c>
      <c r="C174" s="485">
        <f>ROUND((C175*31+C176*28+C177*31+C178*30+C179*31+C180*30+C181*31+C182*31+C183*30+C184*31+C185*30+C186*31)/365,0)</f>
        <v>55732</v>
      </c>
      <c r="D174" s="485">
        <f>ROUND((D175*31+D176*28+D177*31+D178*30+D179*31+D180*30+D181*31+D182*31+D183*30+D184*31+D185*30+D186*31)/365,0)</f>
        <v>57556</v>
      </c>
      <c r="E174" s="485">
        <f>ROUND((E175*31+E176*28+E177*31+E178*30+E179*31+E180*30+E181*31+E182*31+E183*30+E184*31+E185*30+E186*31)/365,0)</f>
        <v>109766</v>
      </c>
      <c r="F174" s="485">
        <f>ROUND((F175*31+F176*28+F177*31+F178*30+F179*31+F180*30+F181*31+F182*31+F183*30+F184*31+F185*30+F186*31)/365,0)</f>
        <v>11670</v>
      </c>
      <c r="G174" s="485">
        <v>21871</v>
      </c>
      <c r="H174" s="485">
        <f aca="true" t="shared" si="12" ref="H174:M174">ROUND((H175*31+H176*28+H177*31+H178*30+H179*31+H180*30+H181*31+H182*31+H183*30+H184*31+H185*30+H186*31)/365,0)</f>
        <v>6886</v>
      </c>
      <c r="I174" s="485">
        <f t="shared" si="12"/>
        <v>32260</v>
      </c>
      <c r="J174" s="485">
        <f t="shared" si="12"/>
        <v>17832</v>
      </c>
      <c r="K174" s="485">
        <f t="shared" si="12"/>
        <v>33800</v>
      </c>
      <c r="L174" s="485">
        <f t="shared" si="12"/>
        <v>38152</v>
      </c>
      <c r="M174" s="485">
        <f t="shared" si="12"/>
        <v>21212</v>
      </c>
      <c r="N174" s="692"/>
    </row>
    <row r="175" spans="1:20" ht="12" customHeight="1">
      <c r="A175" s="266" t="s">
        <v>302</v>
      </c>
      <c r="B175" s="403">
        <f>((14.06*70546+135.98*34320)/(14.06+135.98))</f>
        <v>37714.67848573713</v>
      </c>
      <c r="C175" s="401">
        <v>48247</v>
      </c>
      <c r="D175" s="401">
        <v>45532</v>
      </c>
      <c r="E175" s="401">
        <v>94856</v>
      </c>
      <c r="F175" s="402">
        <v>8251</v>
      </c>
      <c r="G175" s="267">
        <v>16988</v>
      </c>
      <c r="H175" s="401">
        <v>8053</v>
      </c>
      <c r="I175" s="401">
        <v>31415</v>
      </c>
      <c r="J175" s="401">
        <v>18107</v>
      </c>
      <c r="K175" s="401">
        <v>33504</v>
      </c>
      <c r="L175" s="401">
        <v>31782</v>
      </c>
      <c r="M175" s="396">
        <v>16278</v>
      </c>
      <c r="N175" s="396"/>
      <c r="O175" s="693"/>
      <c r="P175" s="392"/>
      <c r="Q175" s="392"/>
      <c r="R175" s="693"/>
      <c r="S175" s="392"/>
      <c r="T175" s="694"/>
    </row>
    <row r="176" spans="1:20" ht="12" customHeight="1">
      <c r="A176" s="492" t="s">
        <v>303</v>
      </c>
      <c r="B176" s="493">
        <f>((14.06*75664+135.98*37014)/(14.06+135.98))</f>
        <v>40635.82751266329</v>
      </c>
      <c r="C176" s="494">
        <v>51803</v>
      </c>
      <c r="D176" s="494">
        <v>50686</v>
      </c>
      <c r="E176" s="494">
        <v>108991</v>
      </c>
      <c r="F176" s="495">
        <v>9024</v>
      </c>
      <c r="G176" s="499">
        <v>17507</v>
      </c>
      <c r="H176" s="494">
        <v>8025</v>
      </c>
      <c r="I176" s="494">
        <v>35679</v>
      </c>
      <c r="J176" s="494">
        <v>19934</v>
      </c>
      <c r="K176" s="494">
        <v>36958</v>
      </c>
      <c r="L176" s="494">
        <v>35962</v>
      </c>
      <c r="M176" s="498">
        <v>18450</v>
      </c>
      <c r="N176" s="396"/>
      <c r="O176" s="693"/>
      <c r="P176" s="392"/>
      <c r="Q176" s="392"/>
      <c r="R176" s="693"/>
      <c r="S176" s="392"/>
      <c r="T176" s="694"/>
    </row>
    <row r="177" spans="1:20" ht="12" customHeight="1">
      <c r="A177" s="266" t="s">
        <v>304</v>
      </c>
      <c r="B177" s="403">
        <f>((14.06*76743+135.98*38159)/(14.06+135.98))</f>
        <v>41774.642761930154</v>
      </c>
      <c r="C177" s="401">
        <v>53534</v>
      </c>
      <c r="D177" s="401">
        <v>53009</v>
      </c>
      <c r="E177" s="401">
        <v>110889</v>
      </c>
      <c r="F177" s="402">
        <v>9446</v>
      </c>
      <c r="G177" s="267">
        <v>18800</v>
      </c>
      <c r="H177" s="401">
        <v>6899</v>
      </c>
      <c r="I177" s="401">
        <v>35214</v>
      </c>
      <c r="J177" s="401">
        <v>18905</v>
      </c>
      <c r="K177" s="401">
        <v>36869</v>
      </c>
      <c r="L177" s="401">
        <v>36097</v>
      </c>
      <c r="M177" s="396">
        <v>19109</v>
      </c>
      <c r="N177" s="396"/>
      <c r="O177" s="693"/>
      <c r="P177" s="392"/>
      <c r="Q177" s="392"/>
      <c r="R177" s="693"/>
      <c r="S177" s="392"/>
      <c r="T177" s="694"/>
    </row>
    <row r="178" spans="1:20" ht="12" customHeight="1">
      <c r="A178" s="492" t="s">
        <v>305</v>
      </c>
      <c r="B178" s="493">
        <f>((14.06*76279+135.98*44223)/(14.06+135.98))</f>
        <v>47226.91468941615</v>
      </c>
      <c r="C178" s="494">
        <v>55044</v>
      </c>
      <c r="D178" s="494">
        <v>60214</v>
      </c>
      <c r="E178" s="494">
        <v>108332</v>
      </c>
      <c r="F178" s="495">
        <v>13055</v>
      </c>
      <c r="G178" s="499">
        <v>24450</v>
      </c>
      <c r="H178" s="494">
        <v>6724</v>
      </c>
      <c r="I178" s="494">
        <v>32132</v>
      </c>
      <c r="J178" s="494">
        <v>17720</v>
      </c>
      <c r="K178" s="494">
        <v>33625</v>
      </c>
      <c r="L178" s="494">
        <v>37922</v>
      </c>
      <c r="M178" s="498">
        <v>21813</v>
      </c>
      <c r="N178" s="396"/>
      <c r="O178" s="693"/>
      <c r="P178" s="392"/>
      <c r="Q178" s="392"/>
      <c r="R178" s="693"/>
      <c r="S178" s="392"/>
      <c r="T178" s="694"/>
    </row>
    <row r="179" spans="1:20" ht="12" customHeight="1">
      <c r="A179" s="266" t="s">
        <v>306</v>
      </c>
      <c r="B179" s="403">
        <f>((14.06*80065+135.98*45261)/(14.06+135.98))</f>
        <v>48522.42521994135</v>
      </c>
      <c r="C179" s="401">
        <v>58592</v>
      </c>
      <c r="D179" s="401">
        <v>58870</v>
      </c>
      <c r="E179" s="401">
        <v>114206</v>
      </c>
      <c r="F179" s="402">
        <v>11136</v>
      </c>
      <c r="G179" s="267">
        <v>20787</v>
      </c>
      <c r="H179" s="401">
        <v>5428</v>
      </c>
      <c r="I179" s="401">
        <v>33226</v>
      </c>
      <c r="J179" s="401">
        <v>17051</v>
      </c>
      <c r="K179" s="401">
        <v>35194</v>
      </c>
      <c r="L179" s="401">
        <v>39397</v>
      </c>
      <c r="M179" s="396">
        <v>21722</v>
      </c>
      <c r="N179" s="396"/>
      <c r="O179" s="693"/>
      <c r="P179" s="392"/>
      <c r="Q179" s="392"/>
      <c r="R179" s="693"/>
      <c r="S179" s="392"/>
      <c r="T179" s="694"/>
    </row>
    <row r="180" spans="1:20" ht="12" customHeight="1">
      <c r="A180" s="492" t="s">
        <v>978</v>
      </c>
      <c r="B180" s="493">
        <f>((14.06*79124+135.98*46926)/(14.06+135.98))</f>
        <v>49943.22127432685</v>
      </c>
      <c r="C180" s="494">
        <v>62336</v>
      </c>
      <c r="D180" s="494">
        <v>62343</v>
      </c>
      <c r="E180" s="494">
        <v>116034</v>
      </c>
      <c r="F180" s="495">
        <v>12488</v>
      </c>
      <c r="G180" s="499">
        <v>21745</v>
      </c>
      <c r="H180" s="494">
        <v>5460</v>
      </c>
      <c r="I180" s="494">
        <v>33849</v>
      </c>
      <c r="J180" s="494">
        <v>17265</v>
      </c>
      <c r="K180" s="494">
        <v>35497</v>
      </c>
      <c r="L180" s="494">
        <v>42756</v>
      </c>
      <c r="M180" s="498">
        <v>23782</v>
      </c>
      <c r="N180" s="396"/>
      <c r="O180" s="693"/>
      <c r="P180" s="392"/>
      <c r="Q180" s="392"/>
      <c r="R180" s="693"/>
      <c r="S180" s="392"/>
      <c r="T180" s="694"/>
    </row>
    <row r="181" spans="1:20" ht="12" customHeight="1">
      <c r="A181" s="266" t="s">
        <v>979</v>
      </c>
      <c r="B181" s="403">
        <f>((14.06*82841+135.98*60787)/(14.06+135.98))</f>
        <v>62853.643828312444</v>
      </c>
      <c r="C181" s="401">
        <v>67654</v>
      </c>
      <c r="D181" s="401">
        <v>73875</v>
      </c>
      <c r="E181" s="401">
        <v>125819</v>
      </c>
      <c r="F181" s="402">
        <v>16172</v>
      </c>
      <c r="G181" s="267">
        <v>29607</v>
      </c>
      <c r="H181" s="401">
        <v>6899</v>
      </c>
      <c r="I181" s="401">
        <v>33917</v>
      </c>
      <c r="J181" s="401">
        <v>18465</v>
      </c>
      <c r="K181" s="401">
        <v>35544</v>
      </c>
      <c r="L181" s="401">
        <v>48429</v>
      </c>
      <c r="M181" s="396">
        <v>28528</v>
      </c>
      <c r="N181" s="396"/>
      <c r="O181" s="693"/>
      <c r="P181" s="392"/>
      <c r="Q181" s="392"/>
      <c r="R181" s="693"/>
      <c r="S181" s="392"/>
      <c r="T181" s="694"/>
    </row>
    <row r="182" spans="1:20" ht="12" customHeight="1">
      <c r="A182" s="492" t="s">
        <v>980</v>
      </c>
      <c r="B182" s="493">
        <f>((14.06*63874+135.98*65334)/(14.06+135.98))</f>
        <v>65197.18581711542</v>
      </c>
      <c r="C182" s="494">
        <v>58905</v>
      </c>
      <c r="D182" s="494">
        <v>76752</v>
      </c>
      <c r="E182" s="494">
        <v>106659</v>
      </c>
      <c r="F182" s="495">
        <v>19040</v>
      </c>
      <c r="G182" s="499">
        <v>37549</v>
      </c>
      <c r="H182" s="494">
        <v>8823</v>
      </c>
      <c r="I182" s="494">
        <v>19972</v>
      </c>
      <c r="J182" s="494">
        <v>14600</v>
      </c>
      <c r="K182" s="494">
        <v>17228</v>
      </c>
      <c r="L182" s="494">
        <v>44661</v>
      </c>
      <c r="M182" s="498">
        <v>29182</v>
      </c>
      <c r="N182" s="396"/>
      <c r="O182" s="693"/>
      <c r="P182" s="392"/>
      <c r="Q182" s="392"/>
      <c r="R182" s="693"/>
      <c r="S182" s="392"/>
      <c r="T182" s="694"/>
    </row>
    <row r="183" spans="1:20" ht="12" customHeight="1">
      <c r="A183" s="266" t="s">
        <v>981</v>
      </c>
      <c r="B183" s="403">
        <f>((14.06*72792+135.98*44373)/(14.06+135.98))</f>
        <v>47036.097440682475</v>
      </c>
      <c r="C183" s="401">
        <v>56234</v>
      </c>
      <c r="D183" s="401">
        <v>56563</v>
      </c>
      <c r="E183" s="401">
        <v>111175</v>
      </c>
      <c r="F183" s="402">
        <v>12117</v>
      </c>
      <c r="G183" s="267">
        <v>20784</v>
      </c>
      <c r="H183" s="401">
        <v>6623</v>
      </c>
      <c r="I183" s="401">
        <v>32215</v>
      </c>
      <c r="J183" s="401">
        <v>17638</v>
      </c>
      <c r="K183" s="401">
        <v>33267</v>
      </c>
      <c r="L183" s="401">
        <v>37856</v>
      </c>
      <c r="M183" s="396">
        <v>21390</v>
      </c>
      <c r="N183" s="396"/>
      <c r="O183" s="693"/>
      <c r="P183" s="392"/>
      <c r="Q183" s="392"/>
      <c r="R183" s="693"/>
      <c r="S183" s="392"/>
      <c r="T183" s="694"/>
    </row>
    <row r="184" spans="1:20" ht="12" customHeight="1">
      <c r="A184" s="492" t="s">
        <v>982</v>
      </c>
      <c r="B184" s="493">
        <f>((14.06*74119+135.98*40517)/(14.06+135.98))</f>
        <v>43665.78778992268</v>
      </c>
      <c r="C184" s="494">
        <v>54403</v>
      </c>
      <c r="D184" s="494">
        <v>54113</v>
      </c>
      <c r="E184" s="494">
        <v>111123</v>
      </c>
      <c r="F184" s="495">
        <v>10666</v>
      </c>
      <c r="G184" s="499">
        <v>19012</v>
      </c>
      <c r="H184" s="494">
        <v>6312</v>
      </c>
      <c r="I184" s="494">
        <v>34318</v>
      </c>
      <c r="J184" s="494">
        <v>19084</v>
      </c>
      <c r="K184" s="494">
        <v>36737</v>
      </c>
      <c r="L184" s="494">
        <v>36189</v>
      </c>
      <c r="M184" s="498">
        <v>19417</v>
      </c>
      <c r="N184" s="396"/>
      <c r="O184" s="693"/>
      <c r="P184" s="392"/>
      <c r="Q184" s="392"/>
      <c r="R184" s="693"/>
      <c r="S184" s="392"/>
      <c r="T184" s="694"/>
    </row>
    <row r="185" spans="1:20" ht="12" customHeight="1">
      <c r="A185" s="266" t="s">
        <v>983</v>
      </c>
      <c r="B185" s="403">
        <f>((14.06*72910+135.98*36715)/(14.06+135.98))</f>
        <v>40106.77352705944</v>
      </c>
      <c r="C185" s="401">
        <v>51976</v>
      </c>
      <c r="D185" s="401">
        <v>49539</v>
      </c>
      <c r="E185" s="401">
        <v>108005</v>
      </c>
      <c r="F185" s="402">
        <v>8660</v>
      </c>
      <c r="G185" s="267">
        <v>16728</v>
      </c>
      <c r="H185" s="401">
        <v>5662</v>
      </c>
      <c r="I185" s="401">
        <v>34353</v>
      </c>
      <c r="J185" s="401">
        <v>17663</v>
      </c>
      <c r="K185" s="401">
        <v>37120</v>
      </c>
      <c r="L185" s="401">
        <v>33552</v>
      </c>
      <c r="M185" s="396">
        <v>17549</v>
      </c>
      <c r="N185" s="396"/>
      <c r="O185" s="693"/>
      <c r="P185" s="392"/>
      <c r="Q185" s="392"/>
      <c r="R185" s="693"/>
      <c r="S185" s="392"/>
      <c r="T185" s="694"/>
    </row>
    <row r="186" spans="1:20" ht="12" customHeight="1">
      <c r="A186" s="492" t="s">
        <v>984</v>
      </c>
      <c r="B186" s="493">
        <f>((14.06*69821+135.98*36092)/(14.06+135.98))</f>
        <v>39252.68874966675</v>
      </c>
      <c r="C186" s="494">
        <v>49756</v>
      </c>
      <c r="D186" s="494">
        <v>48460</v>
      </c>
      <c r="E186" s="494">
        <v>101173</v>
      </c>
      <c r="F186" s="495">
        <v>9721</v>
      </c>
      <c r="G186" s="499">
        <v>17945</v>
      </c>
      <c r="H186" s="494">
        <v>7736</v>
      </c>
      <c r="I186" s="494">
        <v>31272</v>
      </c>
      <c r="J186" s="494">
        <v>17720</v>
      </c>
      <c r="K186" s="494">
        <v>34498</v>
      </c>
      <c r="L186" s="494">
        <v>32987</v>
      </c>
      <c r="M186" s="498">
        <v>17050</v>
      </c>
      <c r="N186" s="396"/>
      <c r="O186" s="693"/>
      <c r="P186" s="392"/>
      <c r="Q186" s="392"/>
      <c r="R186" s="693"/>
      <c r="S186" s="392"/>
      <c r="T186" s="694"/>
    </row>
    <row r="187" spans="1:19" ht="12" customHeight="1">
      <c r="A187" s="266"/>
      <c r="B187" s="403"/>
      <c r="C187" s="401"/>
      <c r="D187" s="401"/>
      <c r="E187" s="401"/>
      <c r="F187" s="402"/>
      <c r="G187" s="172"/>
      <c r="H187" s="401"/>
      <c r="I187" s="401"/>
      <c r="J187" s="401"/>
      <c r="K187" s="401"/>
      <c r="L187" s="401"/>
      <c r="M187" s="396"/>
      <c r="N187" s="396"/>
      <c r="O187" s="392"/>
      <c r="P187" s="392"/>
      <c r="Q187" s="392"/>
      <c r="R187" s="392"/>
      <c r="S187" s="392"/>
    </row>
    <row r="188" spans="1:18" ht="12" customHeight="1">
      <c r="A188" s="484">
        <v>2010</v>
      </c>
      <c r="B188" s="485">
        <f>ROUND((B189*31+B190*28+B191*31+B192*30+B193*31+B194*30+B195*31+B196*31+B197*30+B198*31+B199*30+B200*31)/365,0)</f>
        <v>46104</v>
      </c>
      <c r="C188" s="485">
        <v>52749</v>
      </c>
      <c r="D188" s="485">
        <f>ROUND((D189*31+D190*28+D191*31+D192*30+D193*31+D194*30+D195*31+D196*31+D197*30+D198*31+D199*30+D200*31)/365,0)</f>
        <v>54825</v>
      </c>
      <c r="E188" s="485">
        <f>ROUND((E189*31+E190*28+E191*31+E192*30+E193*31+E194*30+E195*31+E196*31+E197*30+E198*31+E199*30+E200*31)/365,0)</f>
        <v>108967</v>
      </c>
      <c r="F188" s="485">
        <v>11115</v>
      </c>
      <c r="G188" s="485">
        <v>19963</v>
      </c>
      <c r="H188" s="485">
        <f aca="true" t="shared" si="13" ref="H188:M188">ROUND((H189*31+H190*28+H191*31+H192*30+H193*31+H194*30+H195*31+H196*31+H197*30+H198*31+H199*30+H200*31)/365,0)</f>
        <v>6680</v>
      </c>
      <c r="I188" s="485">
        <f t="shared" si="13"/>
        <v>31520</v>
      </c>
      <c r="J188" s="485">
        <f t="shared" si="13"/>
        <v>17071</v>
      </c>
      <c r="K188" s="485">
        <f t="shared" si="13"/>
        <v>33034</v>
      </c>
      <c r="L188" s="485">
        <f t="shared" si="13"/>
        <v>36829</v>
      </c>
      <c r="M188" s="485">
        <f t="shared" si="13"/>
        <v>20008</v>
      </c>
      <c r="N188" s="692"/>
      <c r="O188" s="693"/>
      <c r="P188" s="392"/>
      <c r="Q188" s="694"/>
      <c r="R188" s="693"/>
    </row>
    <row r="189" spans="1:18" ht="12" customHeight="1">
      <c r="A189" s="266" t="s">
        <v>302</v>
      </c>
      <c r="B189" s="403">
        <f>((14.06*64870+135.98*32630)/(14.06+135.98))</f>
        <v>35651.157024793385</v>
      </c>
      <c r="C189" s="401">
        <v>46841</v>
      </c>
      <c r="D189" s="401">
        <v>43035</v>
      </c>
      <c r="E189" s="401">
        <v>92683</v>
      </c>
      <c r="F189" s="402">
        <v>7854</v>
      </c>
      <c r="G189" s="267">
        <v>14852</v>
      </c>
      <c r="H189" s="401">
        <v>8346</v>
      </c>
      <c r="I189" s="401">
        <v>30313</v>
      </c>
      <c r="J189" s="401">
        <v>17478</v>
      </c>
      <c r="K189" s="401">
        <v>32201</v>
      </c>
      <c r="L189" s="401">
        <v>29902</v>
      </c>
      <c r="M189" s="396">
        <v>14963</v>
      </c>
      <c r="N189" s="396"/>
      <c r="O189" s="693"/>
      <c r="P189" s="392"/>
      <c r="Q189" s="694"/>
      <c r="R189" s="693"/>
    </row>
    <row r="190" spans="1:18" ht="12" customHeight="1">
      <c r="A190" s="492" t="s">
        <v>303</v>
      </c>
      <c r="B190" s="493">
        <f>((14.06*70065+135.98*35444)/(14.06+135.98))</f>
        <v>38688.27659290856</v>
      </c>
      <c r="C190" s="494">
        <v>50154</v>
      </c>
      <c r="D190" s="494">
        <v>47419</v>
      </c>
      <c r="E190" s="494">
        <v>107850</v>
      </c>
      <c r="F190" s="495">
        <v>8336</v>
      </c>
      <c r="G190" s="499">
        <v>15210</v>
      </c>
      <c r="H190" s="494">
        <v>8158</v>
      </c>
      <c r="I190" s="494">
        <v>34888</v>
      </c>
      <c r="J190" s="494">
        <v>19258</v>
      </c>
      <c r="K190" s="494">
        <v>36436</v>
      </c>
      <c r="L190" s="494">
        <v>33133</v>
      </c>
      <c r="M190" s="498">
        <v>16757</v>
      </c>
      <c r="N190" s="396"/>
      <c r="O190" s="693"/>
      <c r="P190" s="392"/>
      <c r="Q190" s="694"/>
      <c r="R190" s="693"/>
    </row>
    <row r="191" spans="1:18" ht="12" customHeight="1">
      <c r="A191" s="266" t="s">
        <v>304</v>
      </c>
      <c r="B191" s="403">
        <f>((14.06*70101+135.98*38304)/(14.06+135.98))</f>
        <v>41283.64422820582</v>
      </c>
      <c r="C191" s="401">
        <v>52072</v>
      </c>
      <c r="D191" s="401">
        <v>51614</v>
      </c>
      <c r="E191" s="401">
        <v>108858</v>
      </c>
      <c r="F191" s="402">
        <v>10447</v>
      </c>
      <c r="G191" s="267">
        <v>17727</v>
      </c>
      <c r="H191" s="401">
        <v>7076</v>
      </c>
      <c r="I191" s="401">
        <v>34227</v>
      </c>
      <c r="J191" s="401">
        <v>18024</v>
      </c>
      <c r="K191" s="401">
        <v>35628</v>
      </c>
      <c r="L191" s="401">
        <v>34778</v>
      </c>
      <c r="M191" s="396">
        <v>18326</v>
      </c>
      <c r="N191" s="396"/>
      <c r="O191" s="693"/>
      <c r="P191" s="392"/>
      <c r="Q191" s="694"/>
      <c r="R191" s="693"/>
    </row>
    <row r="192" spans="1:18" ht="12" customHeight="1">
      <c r="A192" s="492" t="s">
        <v>305</v>
      </c>
      <c r="B192" s="493">
        <f>((14.06*72623+135.98*44975)/(14.06+135.98))</f>
        <v>47565.8483071181</v>
      </c>
      <c r="C192" s="494">
        <v>54396</v>
      </c>
      <c r="D192" s="494">
        <v>56647</v>
      </c>
      <c r="E192" s="494">
        <v>110195</v>
      </c>
      <c r="F192" s="495">
        <v>11778</v>
      </c>
      <c r="G192" s="499">
        <v>20928</v>
      </c>
      <c r="H192" s="494">
        <v>6197</v>
      </c>
      <c r="I192" s="494">
        <v>32205</v>
      </c>
      <c r="J192" s="494">
        <v>16846</v>
      </c>
      <c r="K192" s="494">
        <v>33985</v>
      </c>
      <c r="L192" s="494">
        <v>36521</v>
      </c>
      <c r="M192" s="498">
        <v>20238</v>
      </c>
      <c r="N192" s="396"/>
      <c r="O192" s="693"/>
      <c r="P192" s="392"/>
      <c r="Q192" s="694"/>
      <c r="R192" s="693"/>
    </row>
    <row r="193" spans="1:18" ht="12" customHeight="1">
      <c r="A193" s="266" t="s">
        <v>306</v>
      </c>
      <c r="B193" s="403">
        <f>((14.06*74639+135.98*44314)/(14.06+135.98))</f>
        <v>47155.70554518795</v>
      </c>
      <c r="C193" s="401">
        <v>56909</v>
      </c>
      <c r="D193" s="401">
        <v>55671</v>
      </c>
      <c r="E193" s="401">
        <v>114331</v>
      </c>
      <c r="F193" s="402">
        <v>10636</v>
      </c>
      <c r="G193" s="267">
        <v>18318</v>
      </c>
      <c r="H193" s="401">
        <v>5133</v>
      </c>
      <c r="I193" s="401">
        <v>33214</v>
      </c>
      <c r="J193" s="401">
        <v>16453</v>
      </c>
      <c r="K193" s="401">
        <v>34942</v>
      </c>
      <c r="L193" s="401">
        <v>38118</v>
      </c>
      <c r="M193" s="396">
        <v>20470</v>
      </c>
      <c r="N193" s="396"/>
      <c r="O193" s="693"/>
      <c r="P193" s="392"/>
      <c r="Q193" s="694"/>
      <c r="R193" s="693"/>
    </row>
    <row r="194" spans="1:18" ht="12" customHeight="1">
      <c r="A194" s="492" t="s">
        <v>978</v>
      </c>
      <c r="B194" s="493">
        <f>((14.06*74373+135.98*45707)/(14.06+135.98))</f>
        <v>48393.24340175953</v>
      </c>
      <c r="C194" s="494">
        <v>58906</v>
      </c>
      <c r="D194" s="494">
        <v>57653</v>
      </c>
      <c r="E194" s="494">
        <v>114942</v>
      </c>
      <c r="F194" s="495">
        <v>11269</v>
      </c>
      <c r="G194" s="499">
        <v>19369</v>
      </c>
      <c r="H194" s="494">
        <v>5274</v>
      </c>
      <c r="I194" s="494">
        <v>32860</v>
      </c>
      <c r="J194" s="494">
        <v>16443</v>
      </c>
      <c r="K194" s="494">
        <v>35260</v>
      </c>
      <c r="L194" s="494">
        <v>40456</v>
      </c>
      <c r="M194" s="498">
        <v>22280</v>
      </c>
      <c r="N194" s="396"/>
      <c r="O194" s="693"/>
      <c r="P194" s="392"/>
      <c r="Q194" s="694"/>
      <c r="R194" s="693"/>
    </row>
    <row r="195" spans="1:18" ht="12" customHeight="1">
      <c r="A195" s="266" t="s">
        <v>979</v>
      </c>
      <c r="B195" s="403">
        <f>((14.06*81929+135.98*61058)/(14.06+135.98))</f>
        <v>63013.78685683817</v>
      </c>
      <c r="C195" s="401">
        <v>62707</v>
      </c>
      <c r="D195" s="401">
        <v>70012</v>
      </c>
      <c r="E195" s="401">
        <v>124395</v>
      </c>
      <c r="F195" s="402">
        <v>15518</v>
      </c>
      <c r="G195" s="267">
        <v>27370</v>
      </c>
      <c r="H195" s="401">
        <v>6413</v>
      </c>
      <c r="I195" s="401">
        <v>32318</v>
      </c>
      <c r="J195" s="401">
        <v>17342</v>
      </c>
      <c r="K195" s="401">
        <v>34057</v>
      </c>
      <c r="L195" s="401">
        <v>47667</v>
      </c>
      <c r="M195" s="396">
        <v>27418</v>
      </c>
      <c r="N195" s="396"/>
      <c r="O195" s="693"/>
      <c r="P195" s="392"/>
      <c r="Q195" s="694"/>
      <c r="R195" s="693"/>
    </row>
    <row r="196" spans="1:18" ht="12" customHeight="1">
      <c r="A196" s="492" t="s">
        <v>980</v>
      </c>
      <c r="B196" s="493">
        <f>((14.06*63203+135.98*63456)/(14.06+135.98))</f>
        <v>63432.2917888563</v>
      </c>
      <c r="C196" s="494">
        <v>53913</v>
      </c>
      <c r="D196" s="494">
        <v>72947</v>
      </c>
      <c r="E196" s="494">
        <v>104920</v>
      </c>
      <c r="F196" s="495">
        <v>18056</v>
      </c>
      <c r="G196" s="499">
        <v>34263</v>
      </c>
      <c r="H196" s="494">
        <v>8233</v>
      </c>
      <c r="I196" s="494">
        <v>19669</v>
      </c>
      <c r="J196" s="494">
        <v>14003</v>
      </c>
      <c r="K196" s="494">
        <v>16216</v>
      </c>
      <c r="L196" s="498">
        <v>43371</v>
      </c>
      <c r="M196" s="498">
        <v>27509</v>
      </c>
      <c r="N196" s="396"/>
      <c r="O196" s="693"/>
      <c r="P196" s="392"/>
      <c r="Q196" s="694"/>
      <c r="R196" s="693"/>
    </row>
    <row r="197" spans="1:18" ht="12" customHeight="1">
      <c r="A197" s="266" t="s">
        <v>981</v>
      </c>
      <c r="B197" s="403">
        <f>((14.06*71471+135.98*43716)/(14.06+135.98))</f>
        <v>46316.87509997334</v>
      </c>
      <c r="C197" s="401">
        <v>52318</v>
      </c>
      <c r="D197" s="401">
        <v>54296</v>
      </c>
      <c r="E197" s="401">
        <v>110264</v>
      </c>
      <c r="F197" s="402">
        <v>11227</v>
      </c>
      <c r="G197" s="267">
        <v>19494</v>
      </c>
      <c r="H197" s="401">
        <v>5816</v>
      </c>
      <c r="I197" s="401">
        <v>32189</v>
      </c>
      <c r="J197" s="401">
        <v>16710</v>
      </c>
      <c r="K197" s="401">
        <v>33677</v>
      </c>
      <c r="L197" s="401">
        <v>37487</v>
      </c>
      <c r="M197" s="396">
        <v>20308</v>
      </c>
      <c r="N197" s="396"/>
      <c r="O197" s="693"/>
      <c r="P197" s="392"/>
      <c r="Q197" s="694"/>
      <c r="R197" s="693"/>
    </row>
    <row r="198" spans="1:18" ht="12" customHeight="1">
      <c r="A198" s="492" t="s">
        <v>982</v>
      </c>
      <c r="B198" s="493">
        <f>((14.06*71414+135.98*39972)/(14.06+135.98))</f>
        <v>42918.377765929086</v>
      </c>
      <c r="C198" s="494">
        <v>49765</v>
      </c>
      <c r="D198" s="494">
        <v>51921</v>
      </c>
      <c r="E198" s="494">
        <v>108819</v>
      </c>
      <c r="F198" s="495">
        <v>10060</v>
      </c>
      <c r="G198" s="499">
        <v>17975</v>
      </c>
      <c r="H198" s="494">
        <v>6178</v>
      </c>
      <c r="I198" s="494">
        <v>32197</v>
      </c>
      <c r="J198" s="494">
        <v>18190</v>
      </c>
      <c r="K198" s="494">
        <v>34257</v>
      </c>
      <c r="L198" s="494">
        <v>35191</v>
      </c>
      <c r="M198" s="498">
        <v>18442</v>
      </c>
      <c r="N198" s="396"/>
      <c r="O198" s="693"/>
      <c r="P198" s="392"/>
      <c r="Q198" s="694"/>
      <c r="R198" s="693"/>
    </row>
    <row r="199" spans="1:18" ht="12" customHeight="1">
      <c r="A199" s="266" t="s">
        <v>983</v>
      </c>
      <c r="B199" s="403">
        <f>((14.06*70517+135.98*36343)/(14.06+135.98))</f>
        <v>39545.388962943216</v>
      </c>
      <c r="C199" s="401">
        <v>48639</v>
      </c>
      <c r="D199" s="401">
        <v>48124</v>
      </c>
      <c r="E199" s="401">
        <v>109610</v>
      </c>
      <c r="F199" s="402">
        <v>8320</v>
      </c>
      <c r="G199" s="267">
        <v>15885</v>
      </c>
      <c r="H199" s="401">
        <v>5422</v>
      </c>
      <c r="I199" s="401">
        <v>34090</v>
      </c>
      <c r="J199" s="401">
        <v>16934</v>
      </c>
      <c r="K199" s="401">
        <v>37028</v>
      </c>
      <c r="L199" s="401">
        <v>32976</v>
      </c>
      <c r="M199" s="396">
        <v>16811</v>
      </c>
      <c r="N199" s="396"/>
      <c r="O199" s="693"/>
      <c r="P199" s="392"/>
      <c r="Q199" s="694"/>
      <c r="R199" s="693"/>
    </row>
    <row r="200" spans="1:18" ht="12" customHeight="1">
      <c r="A200" s="492" t="s">
        <v>984</v>
      </c>
      <c r="B200" s="493">
        <f>((14.06*67796+135.98*35455)/(14.06+135.98))</f>
        <v>38485.62156758198</v>
      </c>
      <c r="C200" s="494">
        <v>46395</v>
      </c>
      <c r="D200" s="494">
        <v>47762</v>
      </c>
      <c r="E200" s="494">
        <v>100927</v>
      </c>
      <c r="F200" s="495">
        <v>9459</v>
      </c>
      <c r="G200" s="499">
        <v>17570</v>
      </c>
      <c r="H200" s="494">
        <v>7922</v>
      </c>
      <c r="I200" s="494">
        <v>30571</v>
      </c>
      <c r="J200" s="494">
        <v>17334</v>
      </c>
      <c r="K200" s="494">
        <v>33303</v>
      </c>
      <c r="L200" s="494">
        <v>31997</v>
      </c>
      <c r="M200" s="498">
        <v>16249</v>
      </c>
      <c r="N200" s="396"/>
      <c r="O200" s="693"/>
      <c r="P200" s="392"/>
      <c r="Q200" s="694"/>
      <c r="R200" s="693"/>
    </row>
    <row r="201" spans="1:14" ht="12" customHeight="1">
      <c r="A201" s="266"/>
      <c r="B201" s="403"/>
      <c r="C201" s="401"/>
      <c r="D201" s="401"/>
      <c r="E201" s="401"/>
      <c r="F201" s="402"/>
      <c r="G201" s="172"/>
      <c r="H201" s="401"/>
      <c r="I201" s="401"/>
      <c r="J201" s="401"/>
      <c r="K201" s="401"/>
      <c r="L201" s="401"/>
      <c r="M201" s="396"/>
      <c r="N201" s="396"/>
    </row>
    <row r="202" spans="1:14" ht="12" customHeight="1">
      <c r="A202" s="484">
        <v>2011</v>
      </c>
      <c r="B202" s="485">
        <f>ROUND((B203*31+B204*28+B205*31+B206*30+B207*31+B208*30+B209*31+B210*31+B211*30+B212*31+B213*30+B214*31)/365,0)</f>
        <v>44171</v>
      </c>
      <c r="C202" s="485">
        <f>ROUND((C203*31+C204*28+C205*31+C206*30+C207*31+C208*30+C209*31+C210*31+C211*30+C212*31+C213*30+C214*31)/365,0)</f>
        <v>49993</v>
      </c>
      <c r="D202" s="485">
        <f>ROUND((D203*31+D204*28+D205*31+D206*30+D207*31+D208*30+D209*31+D210*31+D211*30+D212*31+D213*30+D214*31)/365,0)</f>
        <v>51856</v>
      </c>
      <c r="E202" s="485">
        <f>ROUND((E203*31+E204*28+E205*31+E206*30+E207*31+E208*30+E209*31+E210*31+E211*30+E212*31+E213*30+E214*31)/365,0)</f>
        <v>107211</v>
      </c>
      <c r="F202" s="485">
        <f>ROUND((F203*31+F204*28+F205*31+F206*30+F207*31+F208*30+F209*31+F210*31+F211*30+F212*31+F213*30+F214*31)/365,0)</f>
        <v>10141</v>
      </c>
      <c r="G202" s="485">
        <v>18546</v>
      </c>
      <c r="H202" s="485">
        <f aca="true" t="shared" si="14" ref="H202:M202">ROUND((H203*31+H204*28+H205*31+H206*30+H207*31+H208*30+H209*31+H210*31+H211*30+H212*31+H213*30+H214*31)/365,0)</f>
        <v>6214</v>
      </c>
      <c r="I202" s="485">
        <f t="shared" si="14"/>
        <v>30160</v>
      </c>
      <c r="J202" s="485">
        <f t="shared" si="14"/>
        <v>15566</v>
      </c>
      <c r="K202" s="485">
        <f t="shared" si="14"/>
        <v>31459</v>
      </c>
      <c r="L202" s="485">
        <f t="shared" si="14"/>
        <v>34895</v>
      </c>
      <c r="M202" s="485">
        <f t="shared" si="14"/>
        <v>18776</v>
      </c>
      <c r="N202" s="302"/>
    </row>
    <row r="203" spans="1:14" ht="12" customHeight="1">
      <c r="A203" s="266" t="s">
        <v>302</v>
      </c>
      <c r="B203" s="403">
        <f>((14.06*63637+135.98*32283)/(14.06+135.98))</f>
        <v>35221.13143161823</v>
      </c>
      <c r="C203" s="401">
        <v>44206</v>
      </c>
      <c r="D203" s="401">
        <v>42491</v>
      </c>
      <c r="E203" s="401">
        <v>95581</v>
      </c>
      <c r="F203" s="402">
        <v>7348</v>
      </c>
      <c r="G203" s="267">
        <v>14174</v>
      </c>
      <c r="H203" s="401">
        <v>7193</v>
      </c>
      <c r="I203" s="401">
        <v>29918</v>
      </c>
      <c r="J203" s="401">
        <v>15753</v>
      </c>
      <c r="K203" s="401">
        <v>31483</v>
      </c>
      <c r="L203" s="401">
        <v>29339</v>
      </c>
      <c r="M203" s="396">
        <v>14509</v>
      </c>
      <c r="N203" s="396"/>
    </row>
    <row r="204" spans="1:14" ht="12" customHeight="1">
      <c r="A204" s="492" t="s">
        <v>303</v>
      </c>
      <c r="B204" s="493">
        <f>((14.06*68283+135.98*34836)/(14.06+135.98))</f>
        <v>37970.26299653426</v>
      </c>
      <c r="C204" s="494">
        <v>47523</v>
      </c>
      <c r="D204" s="494">
        <v>46699</v>
      </c>
      <c r="E204" s="494">
        <v>107855</v>
      </c>
      <c r="F204" s="495">
        <v>7913</v>
      </c>
      <c r="G204" s="499">
        <v>14718</v>
      </c>
      <c r="H204" s="494">
        <v>7490</v>
      </c>
      <c r="I204" s="494">
        <v>34022</v>
      </c>
      <c r="J204" s="494">
        <v>17997</v>
      </c>
      <c r="K204" s="494">
        <v>35386</v>
      </c>
      <c r="L204" s="494">
        <v>32238</v>
      </c>
      <c r="M204" s="498">
        <v>16310</v>
      </c>
      <c r="N204" s="396"/>
    </row>
    <row r="205" spans="1:14" ht="12" customHeight="1">
      <c r="A205" s="266" t="s">
        <v>304</v>
      </c>
      <c r="B205" s="403">
        <f>((14.06*67385+135.98*35584)/(14.06+135.98))</f>
        <v>38564.019061583575</v>
      </c>
      <c r="C205" s="401">
        <v>47641</v>
      </c>
      <c r="D205" s="401">
        <v>47495</v>
      </c>
      <c r="E205" s="401">
        <v>107729</v>
      </c>
      <c r="F205" s="402">
        <v>7936</v>
      </c>
      <c r="G205" s="267">
        <v>15818</v>
      </c>
      <c r="H205" s="401">
        <v>6996</v>
      </c>
      <c r="I205" s="401">
        <v>33624</v>
      </c>
      <c r="J205" s="401">
        <v>17370</v>
      </c>
      <c r="K205" s="401">
        <v>34658</v>
      </c>
      <c r="L205" s="401">
        <v>33457</v>
      </c>
      <c r="M205" s="396">
        <v>16780</v>
      </c>
      <c r="N205" s="396"/>
    </row>
    <row r="206" spans="1:14" ht="12" customHeight="1">
      <c r="A206" s="492" t="s">
        <v>305</v>
      </c>
      <c r="B206" s="493">
        <f>((14.06*68268+135.98*42648)/(14.06+135.98))</f>
        <v>45048.807784590776</v>
      </c>
      <c r="C206" s="494">
        <v>50751</v>
      </c>
      <c r="D206" s="494">
        <v>54529</v>
      </c>
      <c r="E206" s="494">
        <v>106149</v>
      </c>
      <c r="F206" s="495">
        <v>11056</v>
      </c>
      <c r="G206" s="499">
        <v>20065</v>
      </c>
      <c r="H206" s="494">
        <v>5900</v>
      </c>
      <c r="I206" s="494">
        <v>29484</v>
      </c>
      <c r="J206" s="494">
        <v>15344</v>
      </c>
      <c r="K206" s="494">
        <v>31019</v>
      </c>
      <c r="L206" s="494">
        <v>35612</v>
      </c>
      <c r="M206" s="498">
        <v>19659</v>
      </c>
      <c r="N206" s="396"/>
    </row>
    <row r="207" spans="1:14" ht="12" customHeight="1">
      <c r="A207" s="266" t="s">
        <v>306</v>
      </c>
      <c r="B207" s="403">
        <f>((14.06*71052+135.98*39914)/(14.06+135.98))</f>
        <v>42831.890429218874</v>
      </c>
      <c r="C207" s="401">
        <v>51514</v>
      </c>
      <c r="D207" s="401">
        <v>49722</v>
      </c>
      <c r="E207" s="401">
        <v>111815</v>
      </c>
      <c r="F207" s="402">
        <v>8721</v>
      </c>
      <c r="G207" s="267">
        <v>15854</v>
      </c>
      <c r="H207" s="401">
        <v>4435</v>
      </c>
      <c r="I207" s="401">
        <v>32635</v>
      </c>
      <c r="J207" s="401">
        <v>14875</v>
      </c>
      <c r="K207" s="401">
        <v>34919</v>
      </c>
      <c r="L207" s="401">
        <v>34694</v>
      </c>
      <c r="M207" s="396">
        <v>18025</v>
      </c>
      <c r="N207" s="396"/>
    </row>
    <row r="208" spans="1:14" ht="12" customHeight="1">
      <c r="A208" s="492" t="s">
        <v>978</v>
      </c>
      <c r="B208" s="493">
        <f>((14.06*71580+135.98*45540)/(14.06+135.98))</f>
        <v>47980.1652892562</v>
      </c>
      <c r="C208" s="494">
        <v>54659</v>
      </c>
      <c r="D208" s="494">
        <v>55730</v>
      </c>
      <c r="E208" s="494">
        <v>112886</v>
      </c>
      <c r="F208" s="495">
        <v>10530</v>
      </c>
      <c r="G208" s="499">
        <v>18578</v>
      </c>
      <c r="H208" s="494">
        <v>5479</v>
      </c>
      <c r="I208" s="494">
        <v>31147</v>
      </c>
      <c r="J208" s="494">
        <v>15437</v>
      </c>
      <c r="K208" s="494">
        <v>33210</v>
      </c>
      <c r="L208" s="494">
        <v>38394</v>
      </c>
      <c r="M208" s="498">
        <v>21116</v>
      </c>
      <c r="N208" s="396"/>
    </row>
    <row r="209" spans="1:14" ht="12" customHeight="1">
      <c r="A209" s="266" t="s">
        <v>979</v>
      </c>
      <c r="B209" s="403">
        <f>((14.06*76504+135.98*59182)/(14.06+135.98))</f>
        <v>60805.21594241536</v>
      </c>
      <c r="C209" s="401">
        <v>59628</v>
      </c>
      <c r="D209" s="401">
        <v>66987</v>
      </c>
      <c r="E209" s="401">
        <v>121207</v>
      </c>
      <c r="F209" s="402">
        <v>14793</v>
      </c>
      <c r="G209" s="267">
        <v>26484</v>
      </c>
      <c r="H209" s="401">
        <v>6327</v>
      </c>
      <c r="I209" s="401">
        <v>29945</v>
      </c>
      <c r="J209" s="401">
        <v>15847</v>
      </c>
      <c r="K209" s="401">
        <v>31238</v>
      </c>
      <c r="L209" s="401">
        <v>44635</v>
      </c>
      <c r="M209" s="396">
        <v>26097</v>
      </c>
      <c r="N209" s="396"/>
    </row>
    <row r="210" spans="1:14" ht="12" customHeight="1">
      <c r="A210" s="492" t="s">
        <v>980</v>
      </c>
      <c r="B210" s="493">
        <f>((14.06*61622+135.98*60556)/(14.06+135.98))</f>
        <v>60655.893095174615</v>
      </c>
      <c r="C210" s="494">
        <v>53352</v>
      </c>
      <c r="D210" s="494">
        <v>69495</v>
      </c>
      <c r="E210" s="494">
        <v>103680</v>
      </c>
      <c r="F210" s="495">
        <v>17295</v>
      </c>
      <c r="G210" s="499">
        <v>31500</v>
      </c>
      <c r="H210" s="494">
        <v>7879</v>
      </c>
      <c r="I210" s="494">
        <v>19815</v>
      </c>
      <c r="J210" s="494">
        <v>13464</v>
      </c>
      <c r="K210" s="494">
        <v>16795</v>
      </c>
      <c r="L210" s="498">
        <v>42242</v>
      </c>
      <c r="M210" s="498">
        <v>26345</v>
      </c>
      <c r="N210" s="396"/>
    </row>
    <row r="211" spans="1:14" ht="12" customHeight="1">
      <c r="A211" s="266" t="s">
        <v>981</v>
      </c>
      <c r="B211" s="403">
        <f>((14.06*71707+135.98*43403)/(14.06+135.98))</f>
        <v>46055.320981071716</v>
      </c>
      <c r="C211" s="401">
        <v>52434</v>
      </c>
      <c r="D211" s="401">
        <v>53727</v>
      </c>
      <c r="E211" s="401">
        <v>111473</v>
      </c>
      <c r="F211" s="402">
        <v>11298</v>
      </c>
      <c r="G211" s="267">
        <v>18963</v>
      </c>
      <c r="H211" s="401">
        <v>5414</v>
      </c>
      <c r="I211" s="401">
        <v>31434</v>
      </c>
      <c r="J211" s="401">
        <v>15468</v>
      </c>
      <c r="K211" s="401">
        <v>32774</v>
      </c>
      <c r="L211" s="401">
        <v>36253</v>
      </c>
      <c r="M211" s="396">
        <v>19558</v>
      </c>
      <c r="N211" s="396"/>
    </row>
    <row r="212" spans="1:14" ht="12" customHeight="1">
      <c r="A212" s="492" t="s">
        <v>982</v>
      </c>
      <c r="B212" s="493">
        <f>((14.06*69435+135.98*38178)/(14.06+135.98))</f>
        <v>41107.04172220741</v>
      </c>
      <c r="C212" s="494">
        <v>48143</v>
      </c>
      <c r="D212" s="494">
        <v>47775</v>
      </c>
      <c r="E212" s="494">
        <v>105924</v>
      </c>
      <c r="F212" s="495">
        <v>8860</v>
      </c>
      <c r="G212" s="499">
        <v>15927</v>
      </c>
      <c r="H212" s="494">
        <v>5752</v>
      </c>
      <c r="I212" s="494">
        <v>30405</v>
      </c>
      <c r="J212" s="494">
        <v>15478</v>
      </c>
      <c r="K212" s="494">
        <v>32383</v>
      </c>
      <c r="L212" s="494">
        <v>32795</v>
      </c>
      <c r="M212" s="498">
        <v>16805</v>
      </c>
      <c r="N212" s="396"/>
    </row>
    <row r="213" spans="1:14" ht="12" customHeight="1">
      <c r="A213" s="266" t="s">
        <v>983</v>
      </c>
      <c r="B213" s="403">
        <f>((14.06*67117+135.98*33460)/(14.06+135.98))</f>
        <v>36613.94174886697</v>
      </c>
      <c r="C213" s="401">
        <v>45697</v>
      </c>
      <c r="D213" s="401">
        <v>43488</v>
      </c>
      <c r="E213" s="401">
        <v>106098</v>
      </c>
      <c r="F213" s="402">
        <v>7544</v>
      </c>
      <c r="G213" s="267">
        <v>14305</v>
      </c>
      <c r="H213" s="401">
        <v>4976</v>
      </c>
      <c r="I213" s="401">
        <v>32010</v>
      </c>
      <c r="J213" s="401">
        <v>15283</v>
      </c>
      <c r="K213" s="401">
        <v>34044</v>
      </c>
      <c r="L213" s="401">
        <v>29717</v>
      </c>
      <c r="M213" s="396">
        <v>15017</v>
      </c>
      <c r="N213" s="396"/>
    </row>
    <row r="214" spans="1:14" ht="12" customHeight="1">
      <c r="A214" s="492" t="s">
        <v>984</v>
      </c>
      <c r="B214" s="493">
        <f>((14.06*65461+135.98*33578)/(14.06+135.98))</f>
        <v>36565.70314582778</v>
      </c>
      <c r="C214" s="494">
        <v>44242</v>
      </c>
      <c r="D214" s="494">
        <v>43632</v>
      </c>
      <c r="E214" s="494">
        <v>96443</v>
      </c>
      <c r="F214" s="495">
        <v>8178</v>
      </c>
      <c r="G214" s="499">
        <v>15722</v>
      </c>
      <c r="H214" s="494">
        <v>6755</v>
      </c>
      <c r="I214" s="494">
        <v>27970</v>
      </c>
      <c r="J214" s="494">
        <v>14691</v>
      </c>
      <c r="K214" s="494">
        <v>30153</v>
      </c>
      <c r="L214" s="494">
        <v>29117</v>
      </c>
      <c r="M214" s="498">
        <v>14863</v>
      </c>
      <c r="N214" s="396"/>
    </row>
    <row r="215" spans="1:14" ht="12" customHeight="1">
      <c r="A215" s="266"/>
      <c r="B215" s="403"/>
      <c r="C215" s="401"/>
      <c r="D215" s="401"/>
      <c r="E215" s="401"/>
      <c r="F215" s="402"/>
      <c r="G215" s="267"/>
      <c r="H215" s="401"/>
      <c r="I215" s="401"/>
      <c r="J215" s="401"/>
      <c r="K215" s="401"/>
      <c r="L215" s="401"/>
      <c r="M215" s="396"/>
      <c r="N215" s="396"/>
    </row>
    <row r="216" spans="1:14" ht="12" customHeight="1">
      <c r="A216" s="484">
        <v>2012</v>
      </c>
      <c r="B216" s="485">
        <f>ROUND((B217*31+B218*29+B219*31+B220*30+B221*31+B222*30+B223*31+B224*31+B225*30+B226*31+B227*30+B228*31)/366,0)</f>
        <v>41111</v>
      </c>
      <c r="C216" s="485">
        <f>ROUND((C217*31+C218*29+C219*31+C220*30+C221*31+C222*30+C223*31+C224*31+C225*30+C226*31+C227*30+C228*31)/366,0)</f>
        <v>46941</v>
      </c>
      <c r="D216" s="485">
        <f>ROUND((D217*31+D218*29+D219*31+D220*30+D221*31+D222*30+D223*31+D224*31+D225*30+D226*31+D227*30+D228*31)/366,0)</f>
        <v>47588</v>
      </c>
      <c r="E216" s="485">
        <f>ROUND((E217*31+E218*29+E219*31+E220*30+E221*31+E222*30+E223*31+E224*31+E225*30+E226*31+E227*30+E228*31)/366,0)</f>
        <v>103290</v>
      </c>
      <c r="F216" s="485">
        <f>ROUND((F217*31+F218*29+F219*31+F220*30+F221*31+F222*30+F223*31+F224*31+F225*30+F226*31+F227*30+F228*31)/366,0)</f>
        <v>8857</v>
      </c>
      <c r="G216" s="485">
        <v>16191</v>
      </c>
      <c r="H216" s="485">
        <f aca="true" t="shared" si="15" ref="H216:M216">ROUND((H217*31+H218*29+H219*31+H220*30+H221*31+H222*30+H223*31+H224*31+H225*30+H226*31+H227*30+H228*31)/366,0)</f>
        <v>5631</v>
      </c>
      <c r="I216" s="485">
        <f t="shared" si="15"/>
        <v>21220</v>
      </c>
      <c r="J216" s="485">
        <f t="shared" si="15"/>
        <v>13076</v>
      </c>
      <c r="K216" s="485">
        <f t="shared" si="15"/>
        <v>27819</v>
      </c>
      <c r="L216" s="485">
        <f t="shared" si="15"/>
        <v>29919</v>
      </c>
      <c r="M216" s="485">
        <f t="shared" si="15"/>
        <v>16707</v>
      </c>
      <c r="N216" s="302"/>
    </row>
    <row r="217" spans="1:14" ht="12" customHeight="1">
      <c r="A217" s="266" t="s">
        <v>302</v>
      </c>
      <c r="B217" s="403">
        <f>((14.06*60478+135.98*30850)/(14.06+135.98))</f>
        <v>33626.390829112235</v>
      </c>
      <c r="C217" s="401">
        <v>42439</v>
      </c>
      <c r="D217" s="401">
        <v>39368</v>
      </c>
      <c r="E217" s="401">
        <v>96133</v>
      </c>
      <c r="F217" s="402">
        <v>6611</v>
      </c>
      <c r="G217" s="267">
        <v>13095</v>
      </c>
      <c r="H217" s="401">
        <v>6355</v>
      </c>
      <c r="I217" s="401">
        <v>23507</v>
      </c>
      <c r="J217" s="401">
        <v>13729</v>
      </c>
      <c r="K217" s="401">
        <v>29596</v>
      </c>
      <c r="L217" s="401">
        <v>26018</v>
      </c>
      <c r="M217" s="396">
        <v>13090</v>
      </c>
      <c r="N217" s="396"/>
    </row>
    <row r="218" spans="1:14" ht="12" customHeight="1">
      <c r="A218" s="492" t="s">
        <v>303</v>
      </c>
      <c r="B218" s="493">
        <f>((14.06*59755+135.98*30991)/(14.06+135.98))</f>
        <v>33686.426819514796</v>
      </c>
      <c r="C218" s="494">
        <v>42832</v>
      </c>
      <c r="D218" s="494">
        <v>40452</v>
      </c>
      <c r="E218" s="494">
        <v>101142</v>
      </c>
      <c r="F218" s="495">
        <v>6723</v>
      </c>
      <c r="G218" s="499">
        <v>12554</v>
      </c>
      <c r="H218" s="494">
        <v>6249</v>
      </c>
      <c r="I218" s="494">
        <v>24617</v>
      </c>
      <c r="J218" s="494">
        <v>14566</v>
      </c>
      <c r="K218" s="494">
        <v>31733</v>
      </c>
      <c r="L218" s="494">
        <v>27073</v>
      </c>
      <c r="M218" s="498">
        <v>13642</v>
      </c>
      <c r="N218" s="396"/>
    </row>
    <row r="219" spans="1:14" ht="12" customHeight="1">
      <c r="A219" s="266" t="s">
        <v>304</v>
      </c>
      <c r="B219" s="403">
        <f>((14.06*62647+135.98*34301)/(14.06+135.98))</f>
        <v>36957.256731538255</v>
      </c>
      <c r="C219" s="401">
        <v>46865</v>
      </c>
      <c r="D219" s="401">
        <v>45169</v>
      </c>
      <c r="E219" s="401">
        <v>104192</v>
      </c>
      <c r="F219" s="402">
        <v>7729</v>
      </c>
      <c r="G219" s="267">
        <v>14436</v>
      </c>
      <c r="H219" s="401">
        <v>5900</v>
      </c>
      <c r="I219" s="401">
        <v>24757</v>
      </c>
      <c r="J219" s="401">
        <v>14606</v>
      </c>
      <c r="K219" s="401">
        <v>32532</v>
      </c>
      <c r="L219" s="401">
        <v>29683</v>
      </c>
      <c r="M219" s="396">
        <v>15574</v>
      </c>
      <c r="N219" s="396"/>
    </row>
    <row r="220" spans="1:14" ht="12" customHeight="1">
      <c r="A220" s="492" t="s">
        <v>305</v>
      </c>
      <c r="B220" s="493">
        <f>((14.06*60629+135.98*40036)/(14.06+135.98))</f>
        <v>41965.735937083446</v>
      </c>
      <c r="C220" s="494">
        <v>46613</v>
      </c>
      <c r="D220" s="494">
        <v>49648</v>
      </c>
      <c r="E220" s="494">
        <v>101050</v>
      </c>
      <c r="F220" s="495">
        <v>9927</v>
      </c>
      <c r="G220" s="499">
        <v>17420</v>
      </c>
      <c r="H220" s="494">
        <v>5483</v>
      </c>
      <c r="I220" s="494">
        <v>20793</v>
      </c>
      <c r="J220" s="494">
        <v>12959</v>
      </c>
      <c r="K220" s="494">
        <v>27431</v>
      </c>
      <c r="L220" s="494">
        <v>30191</v>
      </c>
      <c r="M220" s="498">
        <v>17272</v>
      </c>
      <c r="N220" s="396"/>
    </row>
    <row r="221" spans="1:14" ht="12" customHeight="1">
      <c r="A221" s="266" t="s">
        <v>306</v>
      </c>
      <c r="B221" s="403">
        <f>((14.06*63661+135.98*39501)/(14.06+135.98))</f>
        <v>41764.993601706214</v>
      </c>
      <c r="C221" s="401">
        <v>48673</v>
      </c>
      <c r="D221" s="401">
        <v>47271</v>
      </c>
      <c r="E221" s="401">
        <v>107785</v>
      </c>
      <c r="F221" s="402">
        <v>8057</v>
      </c>
      <c r="G221" s="267">
        <v>14434</v>
      </c>
      <c r="H221" s="401">
        <v>4235</v>
      </c>
      <c r="I221" s="401">
        <v>23046</v>
      </c>
      <c r="J221" s="401">
        <v>12620</v>
      </c>
      <c r="K221" s="401">
        <v>31023</v>
      </c>
      <c r="L221" s="401">
        <v>30508</v>
      </c>
      <c r="M221" s="396">
        <v>16565</v>
      </c>
      <c r="N221" s="396"/>
    </row>
    <row r="222" spans="1:14" ht="12" customHeight="1">
      <c r="A222" s="492" t="s">
        <v>978</v>
      </c>
      <c r="B222" s="493">
        <f>((14.06*65592+135.98*42744)/(14.06+135.98))</f>
        <v>44885.04825379898</v>
      </c>
      <c r="C222" s="494">
        <v>52960</v>
      </c>
      <c r="D222" s="494">
        <v>51755</v>
      </c>
      <c r="E222" s="494">
        <v>111359</v>
      </c>
      <c r="F222" s="495">
        <v>9570</v>
      </c>
      <c r="G222" s="499">
        <v>15949</v>
      </c>
      <c r="H222" s="494">
        <v>4627</v>
      </c>
      <c r="I222" s="494">
        <v>22943</v>
      </c>
      <c r="J222" s="494">
        <v>12923</v>
      </c>
      <c r="K222" s="494">
        <v>30648</v>
      </c>
      <c r="L222" s="494">
        <v>34571</v>
      </c>
      <c r="M222" s="498">
        <v>19243</v>
      </c>
      <c r="N222" s="396"/>
    </row>
    <row r="223" spans="1:14" ht="12" customHeight="1">
      <c r="A223" s="266" t="s">
        <v>979</v>
      </c>
      <c r="B223" s="403">
        <f>((14.06*68330+135.98*54608)/(14.06+135.98))</f>
        <v>55893.86590242602</v>
      </c>
      <c r="C223" s="401">
        <v>56968</v>
      </c>
      <c r="D223" s="401">
        <v>60501</v>
      </c>
      <c r="E223" s="401">
        <v>116468</v>
      </c>
      <c r="F223" s="402">
        <v>12827</v>
      </c>
      <c r="G223" s="267">
        <v>21921</v>
      </c>
      <c r="H223" s="401">
        <v>5671</v>
      </c>
      <c r="I223" s="401">
        <v>21334</v>
      </c>
      <c r="J223" s="401">
        <v>13409</v>
      </c>
      <c r="K223" s="401">
        <v>27863</v>
      </c>
      <c r="L223" s="401">
        <v>39111</v>
      </c>
      <c r="M223" s="396">
        <v>23557</v>
      </c>
      <c r="N223" s="396"/>
    </row>
    <row r="224" spans="1:14" ht="12" customHeight="1">
      <c r="A224" s="492" t="s">
        <v>980</v>
      </c>
      <c r="B224" s="493">
        <f>((14.06*54286+135.98*58421)/(14.06+135.98))</f>
        <v>58033.515995734466</v>
      </c>
      <c r="C224" s="494">
        <v>51299</v>
      </c>
      <c r="D224" s="494">
        <v>63913</v>
      </c>
      <c r="E224" s="494">
        <v>101744</v>
      </c>
      <c r="F224" s="495">
        <v>14298</v>
      </c>
      <c r="G224" s="499">
        <v>28123</v>
      </c>
      <c r="H224" s="494">
        <v>7304</v>
      </c>
      <c r="I224" s="494">
        <v>13121</v>
      </c>
      <c r="J224" s="494">
        <v>11342</v>
      </c>
      <c r="K224" s="494">
        <v>14584</v>
      </c>
      <c r="L224" s="498">
        <v>36144</v>
      </c>
      <c r="M224" s="498">
        <v>24239</v>
      </c>
      <c r="N224" s="396"/>
    </row>
    <row r="225" spans="1:14" ht="12" customHeight="1">
      <c r="A225" s="266" t="s">
        <v>981</v>
      </c>
      <c r="B225" s="403">
        <f>((14.06*57767+135.98*40927)/(14.06+135.98))</f>
        <v>42505.048520394565</v>
      </c>
      <c r="C225" s="401">
        <v>46987</v>
      </c>
      <c r="D225" s="401">
        <v>48263</v>
      </c>
      <c r="E225" s="401">
        <v>103193</v>
      </c>
      <c r="F225" s="402">
        <v>9273</v>
      </c>
      <c r="G225" s="267">
        <v>16674</v>
      </c>
      <c r="H225" s="401">
        <v>5115</v>
      </c>
      <c r="I225" s="401">
        <v>18899</v>
      </c>
      <c r="J225" s="401">
        <v>11726</v>
      </c>
      <c r="K225" s="401">
        <v>25272</v>
      </c>
      <c r="L225" s="401">
        <v>29498</v>
      </c>
      <c r="M225" s="396">
        <v>17135</v>
      </c>
      <c r="N225" s="396"/>
    </row>
    <row r="226" spans="1:14" ht="12" customHeight="1">
      <c r="A226" s="492" t="s">
        <v>982</v>
      </c>
      <c r="B226" s="493">
        <f>((14.06*58239+135.98*33822)/(14.06+135.98))</f>
        <v>36110.07664622767</v>
      </c>
      <c r="C226" s="494">
        <v>43982</v>
      </c>
      <c r="D226" s="494">
        <v>43014</v>
      </c>
      <c r="E226" s="494">
        <v>104095</v>
      </c>
      <c r="F226" s="495">
        <v>7537</v>
      </c>
      <c r="G226" s="499">
        <v>13656</v>
      </c>
      <c r="H226" s="494">
        <v>4842</v>
      </c>
      <c r="I226" s="494">
        <v>22150</v>
      </c>
      <c r="J226" s="494">
        <v>13582</v>
      </c>
      <c r="K226" s="494">
        <v>29525</v>
      </c>
      <c r="L226" s="494">
        <v>26941</v>
      </c>
      <c r="M226" s="498">
        <v>14258</v>
      </c>
      <c r="N226" s="396"/>
    </row>
    <row r="227" spans="1:14" ht="12" customHeight="1">
      <c r="A227" s="266" t="s">
        <v>983</v>
      </c>
      <c r="B227" s="403">
        <f>((14.06*54996+135.98*32207)/(14.06+135.98))</f>
        <v>34342.519461476935</v>
      </c>
      <c r="C227" s="401">
        <v>42464</v>
      </c>
      <c r="D227" s="401">
        <v>41207</v>
      </c>
      <c r="E227" s="401">
        <v>101280</v>
      </c>
      <c r="F227" s="402">
        <v>6705</v>
      </c>
      <c r="G227" s="267">
        <v>12432</v>
      </c>
      <c r="H227" s="401">
        <v>4868</v>
      </c>
      <c r="I227" s="401">
        <v>21073</v>
      </c>
      <c r="J227" s="401">
        <v>12728</v>
      </c>
      <c r="K227" s="401">
        <v>28485</v>
      </c>
      <c r="L227" s="401">
        <v>24628</v>
      </c>
      <c r="M227" s="396">
        <v>13075</v>
      </c>
      <c r="N227" s="396"/>
    </row>
    <row r="228" spans="1:14" ht="12" customHeight="1">
      <c r="A228" s="492" t="s">
        <v>984</v>
      </c>
      <c r="B228" s="500">
        <f>((14.06*52574+135.98*31037)/(14.06+135.98))</f>
        <v>33055.19661423621</v>
      </c>
      <c r="C228" s="501">
        <v>40984</v>
      </c>
      <c r="D228" s="501">
        <v>40057</v>
      </c>
      <c r="E228" s="501">
        <v>91016</v>
      </c>
      <c r="F228" s="502">
        <v>6890</v>
      </c>
      <c r="G228" s="503">
        <v>13285</v>
      </c>
      <c r="H228" s="501">
        <v>6879</v>
      </c>
      <c r="I228" s="501">
        <v>18583</v>
      </c>
      <c r="J228" s="501">
        <v>12760</v>
      </c>
      <c r="K228" s="501">
        <v>25406</v>
      </c>
      <c r="L228" s="501">
        <v>24457</v>
      </c>
      <c r="M228" s="504">
        <v>12634</v>
      </c>
      <c r="N228" s="396"/>
    </row>
    <row r="229" spans="1:14" ht="12">
      <c r="A229" s="94"/>
      <c r="B229" s="393"/>
      <c r="C229" s="393"/>
      <c r="D229" s="393"/>
      <c r="E229" s="393"/>
      <c r="F229" s="393"/>
      <c r="G229" s="322"/>
      <c r="H229" s="388"/>
      <c r="I229" s="388"/>
      <c r="J229" s="388"/>
      <c r="K229" s="388"/>
      <c r="L229" s="388"/>
      <c r="M229" s="404"/>
      <c r="N229" s="399"/>
    </row>
    <row r="230" spans="1:14" ht="12" customHeight="1">
      <c r="A230" s="484">
        <v>2013</v>
      </c>
      <c r="B230" s="485">
        <f>ROUND((B231*31+B232*28+B233*31+B234*30+B235*31+B236*30+B237*31+B238*31+B239*30+B240*31+B241*30+B242*31)/365,0)</f>
        <v>40720</v>
      </c>
      <c r="C230" s="485">
        <f>ROUND((C231*31+C232*28+C233*31+C234*30+C235*31+C236*30+C237*31+C238*31+C239*30+C240*31+C241*30+C242*31)/365,0)</f>
        <v>45715</v>
      </c>
      <c r="D230" s="485">
        <f>ROUND((D231*31+D232*28+D233*31+D234*30+D235*31+D236*30+D237*31+D238*31+D239*30+D240*31+D241*30+D242*31)/365,0)</f>
        <v>45911</v>
      </c>
      <c r="E230" s="485">
        <f>ROUND((E231*31+E232*28+E233*31+E234*30+E235*31+E236*30+E237*31+E238*31+E239*30+E240*31+E241*30+E242*31)/365,0)</f>
        <v>99902</v>
      </c>
      <c r="F230" s="485">
        <f>ROUND((F231*31+F232*28+F233*31+F234*30+F235*31+F236*30+F237*31+F238*31+F239*30+F240*31+F241*30+F242*31)/365,0)</f>
        <v>7901</v>
      </c>
      <c r="G230" s="485">
        <v>15319</v>
      </c>
      <c r="H230" s="485">
        <f aca="true" t="shared" si="16" ref="H230:M230">ROUND((H231*31+H232*28+H233*31+H234*30+H235*31+H236*30+H237*31+H238*31+H239*30+H240*31+H241*30+H242*31)/365,0)</f>
        <v>5732</v>
      </c>
      <c r="I230" s="485">
        <f t="shared" si="16"/>
        <v>19313</v>
      </c>
      <c r="J230" s="485">
        <f t="shared" si="16"/>
        <v>12132</v>
      </c>
      <c r="K230" s="485">
        <f t="shared" si="16"/>
        <v>25894</v>
      </c>
      <c r="L230" s="485">
        <f t="shared" si="16"/>
        <v>27915</v>
      </c>
      <c r="M230" s="485">
        <f t="shared" si="16"/>
        <v>15574</v>
      </c>
      <c r="N230" s="302"/>
    </row>
    <row r="231" spans="1:14" ht="12" customHeight="1">
      <c r="A231" s="266" t="s">
        <v>302</v>
      </c>
      <c r="B231" s="403">
        <v>30343.427774098953</v>
      </c>
      <c r="C231" s="401">
        <v>39930.77468697959</v>
      </c>
      <c r="D231" s="401">
        <v>36382.109566849664</v>
      </c>
      <c r="E231" s="401">
        <v>92771.57318608931</v>
      </c>
      <c r="F231" s="402">
        <v>5463</v>
      </c>
      <c r="G231" s="267">
        <v>11316</v>
      </c>
      <c r="H231" s="401">
        <v>5959.032258064516</v>
      </c>
      <c r="I231" s="401">
        <v>20103</v>
      </c>
      <c r="J231" s="401">
        <v>12080</v>
      </c>
      <c r="K231" s="401">
        <v>26807.354838709674</v>
      </c>
      <c r="L231" s="401">
        <v>22084.230532155332</v>
      </c>
      <c r="M231" s="396">
        <v>11203.29842397286</v>
      </c>
      <c r="N231" s="396"/>
    </row>
    <row r="232" spans="1:14" ht="12" customHeight="1">
      <c r="A232" s="492" t="s">
        <v>303</v>
      </c>
      <c r="B232" s="493">
        <v>30826.7376318696</v>
      </c>
      <c r="C232" s="494">
        <v>40362.117590822185</v>
      </c>
      <c r="D232" s="494">
        <v>37799.73630643968</v>
      </c>
      <c r="E232" s="494">
        <v>95948.2384169884</v>
      </c>
      <c r="F232" s="495">
        <v>5729</v>
      </c>
      <c r="G232" s="499">
        <v>11162</v>
      </c>
      <c r="H232" s="494">
        <v>6554.607142857143</v>
      </c>
      <c r="I232" s="494">
        <v>21025</v>
      </c>
      <c r="J232" s="494">
        <v>13021</v>
      </c>
      <c r="K232" s="494">
        <v>28083.571428571428</v>
      </c>
      <c r="L232" s="494">
        <v>23738.250682438582</v>
      </c>
      <c r="M232" s="498">
        <v>11999.861815989148</v>
      </c>
      <c r="N232" s="396"/>
    </row>
    <row r="233" spans="1:14" ht="12" customHeight="1">
      <c r="A233" s="266" t="s">
        <v>304</v>
      </c>
      <c r="B233" s="403">
        <v>35288.404597483684</v>
      </c>
      <c r="C233" s="401">
        <v>43331.24714735089</v>
      </c>
      <c r="D233" s="401">
        <v>44265.48232813485</v>
      </c>
      <c r="E233" s="401">
        <v>96949.5132229003</v>
      </c>
      <c r="F233" s="402">
        <v>7550</v>
      </c>
      <c r="G233" s="267">
        <v>14691</v>
      </c>
      <c r="H233" s="401">
        <v>7216.32258</v>
      </c>
      <c r="I233" s="401">
        <v>19357</v>
      </c>
      <c r="J233" s="401">
        <v>13399</v>
      </c>
      <c r="K233" s="401">
        <v>25727.064516</v>
      </c>
      <c r="L233" s="401">
        <v>26247.296418053556</v>
      </c>
      <c r="M233" s="396">
        <v>14452.383329740278</v>
      </c>
      <c r="N233" s="396"/>
    </row>
    <row r="234" spans="1:14" ht="12" customHeight="1">
      <c r="A234" s="492" t="s">
        <v>305</v>
      </c>
      <c r="B234" s="493">
        <v>37518.29223318226</v>
      </c>
      <c r="C234" s="494">
        <v>44854.511790949655</v>
      </c>
      <c r="D234" s="494">
        <v>43196.85532084496</v>
      </c>
      <c r="E234" s="494">
        <v>99002.64639639639</v>
      </c>
      <c r="F234" s="495">
        <v>7045</v>
      </c>
      <c r="G234" s="499">
        <v>13708</v>
      </c>
      <c r="H234" s="494">
        <v>4361.666666</v>
      </c>
      <c r="I234" s="494">
        <v>20680</v>
      </c>
      <c r="J234" s="494">
        <v>11476</v>
      </c>
      <c r="K234" s="494">
        <v>28288.866665999998</v>
      </c>
      <c r="L234" s="494">
        <v>26228.106864826605</v>
      </c>
      <c r="M234" s="498">
        <v>14178.663383749561</v>
      </c>
      <c r="N234" s="396"/>
    </row>
    <row r="235" spans="1:14" ht="12" customHeight="1">
      <c r="A235" s="266" t="s">
        <v>306</v>
      </c>
      <c r="B235" s="403">
        <v>42136.916392187886</v>
      </c>
      <c r="C235" s="401">
        <v>46783.01301424782</v>
      </c>
      <c r="D235" s="401">
        <v>45422.96860335052</v>
      </c>
      <c r="E235" s="401">
        <v>103634.39528237915</v>
      </c>
      <c r="F235" s="402">
        <v>7063</v>
      </c>
      <c r="G235" s="267">
        <v>13834</v>
      </c>
      <c r="H235" s="401">
        <v>4154.870968</v>
      </c>
      <c r="I235" s="401">
        <v>20497</v>
      </c>
      <c r="J235" s="401">
        <v>11600</v>
      </c>
      <c r="K235" s="401">
        <v>27735.967742</v>
      </c>
      <c r="L235" s="401">
        <v>27999.26203684679</v>
      </c>
      <c r="M235" s="396">
        <v>15193.930763732085</v>
      </c>
      <c r="N235" s="396"/>
    </row>
    <row r="236" spans="1:14" ht="12" customHeight="1">
      <c r="A236" s="492" t="s">
        <v>978</v>
      </c>
      <c r="B236" s="493">
        <v>44282.2605083089</v>
      </c>
      <c r="C236" s="494">
        <v>50030.007010834925</v>
      </c>
      <c r="D236" s="494">
        <v>49538.60103626943</v>
      </c>
      <c r="E236" s="494">
        <v>104874.84734734733</v>
      </c>
      <c r="F236" s="495">
        <v>8566</v>
      </c>
      <c r="G236" s="499">
        <v>15104</v>
      </c>
      <c r="H236" s="494">
        <v>4742.900000000001</v>
      </c>
      <c r="I236" s="494">
        <v>19560</v>
      </c>
      <c r="J236" s="494">
        <v>11569</v>
      </c>
      <c r="K236" s="494">
        <v>26706.433333</v>
      </c>
      <c r="L236" s="494">
        <v>31900.399858457182</v>
      </c>
      <c r="M236" s="498">
        <v>18077.75471919334</v>
      </c>
      <c r="N236" s="396"/>
    </row>
    <row r="237" spans="1:14" ht="12" customHeight="1">
      <c r="A237" s="266" t="s">
        <v>979</v>
      </c>
      <c r="B237" s="403">
        <v>54381.54126641498</v>
      </c>
      <c r="C237" s="401">
        <v>56115.73490408932</v>
      </c>
      <c r="D237" s="401">
        <v>57678.77769063629</v>
      </c>
      <c r="E237" s="401">
        <v>114775.93117310858</v>
      </c>
      <c r="F237" s="402">
        <v>11293</v>
      </c>
      <c r="G237" s="267">
        <v>20071</v>
      </c>
      <c r="H237" s="401">
        <v>5549.387097</v>
      </c>
      <c r="I237" s="401">
        <v>19904</v>
      </c>
      <c r="J237" s="401">
        <v>12367</v>
      </c>
      <c r="K237" s="401">
        <v>26516.516129</v>
      </c>
      <c r="L237" s="401">
        <v>37249.000068488465</v>
      </c>
      <c r="M237" s="396">
        <v>22107.0881508629</v>
      </c>
      <c r="N237" s="396"/>
    </row>
    <row r="238" spans="1:14" ht="12" customHeight="1">
      <c r="A238" s="492" t="s">
        <v>980</v>
      </c>
      <c r="B238" s="493">
        <v>61332.71364195354</v>
      </c>
      <c r="C238" s="494">
        <v>49895.33707518658</v>
      </c>
      <c r="D238" s="494">
        <v>64750.49627791564</v>
      </c>
      <c r="E238" s="494">
        <v>99510.98154606218</v>
      </c>
      <c r="F238" s="495">
        <v>13522</v>
      </c>
      <c r="G238" s="499">
        <v>29597</v>
      </c>
      <c r="H238" s="494">
        <v>7623.258065</v>
      </c>
      <c r="I238" s="494">
        <v>11714</v>
      </c>
      <c r="J238" s="494">
        <v>10459</v>
      </c>
      <c r="K238" s="494">
        <v>13370.290323000001</v>
      </c>
      <c r="L238" s="494">
        <v>35240.932127936445</v>
      </c>
      <c r="M238" s="498">
        <v>23728.964179138347</v>
      </c>
      <c r="N238" s="396"/>
    </row>
    <row r="239" spans="1:14" ht="12" customHeight="1">
      <c r="A239" s="266" t="s">
        <v>981</v>
      </c>
      <c r="B239" s="403">
        <v>42720.75024437928</v>
      </c>
      <c r="C239" s="401">
        <v>46651.68387507967</v>
      </c>
      <c r="D239" s="401">
        <v>47923.75548027102</v>
      </c>
      <c r="E239" s="401">
        <v>101231.61036036036</v>
      </c>
      <c r="F239" s="402">
        <v>8530</v>
      </c>
      <c r="G239" s="267">
        <v>16384</v>
      </c>
      <c r="H239" s="401">
        <v>5305.700000000001</v>
      </c>
      <c r="I239" s="401">
        <v>18556</v>
      </c>
      <c r="J239" s="401">
        <v>11814</v>
      </c>
      <c r="K239" s="401">
        <v>24749.166666</v>
      </c>
      <c r="L239" s="401">
        <v>28556.969214437366</v>
      </c>
      <c r="M239" s="396">
        <v>16480.536991440968</v>
      </c>
      <c r="N239" s="396"/>
    </row>
    <row r="240" spans="1:14" ht="12" customHeight="1">
      <c r="A240" s="492" t="s">
        <v>982</v>
      </c>
      <c r="B240" s="493">
        <v>38436.139395086044</v>
      </c>
      <c r="C240" s="494">
        <v>44942.7194226855</v>
      </c>
      <c r="D240" s="494">
        <v>43117.75414957765</v>
      </c>
      <c r="E240" s="494">
        <v>101828.9826116439</v>
      </c>
      <c r="F240" s="495">
        <v>6963</v>
      </c>
      <c r="G240" s="499">
        <v>12849</v>
      </c>
      <c r="H240" s="494">
        <v>4801.935484</v>
      </c>
      <c r="I240" s="494">
        <v>21445</v>
      </c>
      <c r="J240" s="494">
        <v>12660</v>
      </c>
      <c r="K240" s="494">
        <v>28957</v>
      </c>
      <c r="L240" s="494">
        <v>26691.48517224848</v>
      </c>
      <c r="M240" s="498">
        <v>14066.760464298275</v>
      </c>
      <c r="N240" s="396"/>
    </row>
    <row r="241" spans="1:14" ht="12" customHeight="1">
      <c r="A241" s="266" t="s">
        <v>983</v>
      </c>
      <c r="B241" s="403">
        <v>35812.96298764774</v>
      </c>
      <c r="C241" s="401">
        <v>42847.86105799872</v>
      </c>
      <c r="D241" s="401">
        <v>40471.14354988707</v>
      </c>
      <c r="E241" s="401">
        <v>98600.96221221221</v>
      </c>
      <c r="F241" s="402">
        <v>6297</v>
      </c>
      <c r="G241" s="267">
        <v>11873</v>
      </c>
      <c r="H241" s="401">
        <v>5112.099999999999</v>
      </c>
      <c r="I241" s="401">
        <v>20280</v>
      </c>
      <c r="J241" s="401">
        <v>12136</v>
      </c>
      <c r="K241" s="401">
        <v>27751.333333</v>
      </c>
      <c r="L241" s="401">
        <v>24608.168789808915</v>
      </c>
      <c r="M241" s="396">
        <v>12783.041388204947</v>
      </c>
      <c r="N241" s="396"/>
    </row>
    <row r="242" spans="1:14" ht="12" customHeight="1">
      <c r="A242" s="492" t="s">
        <v>984</v>
      </c>
      <c r="B242" s="493">
        <v>34521.70453470473</v>
      </c>
      <c r="C242" s="494">
        <v>42363.0543391106</v>
      </c>
      <c r="D242" s="494">
        <v>39513.01958112087</v>
      </c>
      <c r="E242" s="494">
        <v>89438.64307856243</v>
      </c>
      <c r="F242" s="495">
        <v>6538</v>
      </c>
      <c r="G242" s="503">
        <v>12697</v>
      </c>
      <c r="H242" s="494">
        <v>7369.903225</v>
      </c>
      <c r="I242" s="494">
        <v>18861</v>
      </c>
      <c r="J242" s="494">
        <v>13036</v>
      </c>
      <c r="K242" s="494">
        <v>26368.741935</v>
      </c>
      <c r="L242" s="494">
        <v>24016.0982124512</v>
      </c>
      <c r="M242" s="498">
        <v>12242.91808970533</v>
      </c>
      <c r="N242" s="396"/>
    </row>
    <row r="243" spans="1:14" ht="12" customHeight="1">
      <c r="A243" s="266"/>
      <c r="B243" s="403"/>
      <c r="C243" s="401"/>
      <c r="D243" s="401"/>
      <c r="E243" s="401"/>
      <c r="F243" s="402"/>
      <c r="G243" s="323"/>
      <c r="H243" s="401"/>
      <c r="I243" s="401"/>
      <c r="J243" s="401"/>
      <c r="K243" s="401"/>
      <c r="L243" s="401"/>
      <c r="M243" s="396"/>
      <c r="N243" s="396"/>
    </row>
    <row r="244" spans="1:14" ht="12" customHeight="1">
      <c r="A244" s="484">
        <v>2014</v>
      </c>
      <c r="B244" s="485">
        <f>ROUND((B245*31+B246*28+B247*31+B248*30+B249*31+B250*30+B251*31+B252*31+B253*30+B254*31+B255*30+B256*31)/365,0)</f>
        <v>42711</v>
      </c>
      <c r="C244" s="485">
        <f>ROUND((C245*31+C246*28+C247*31+C248*30+C249*31+C250*30+C251*31+C252*31+C253*30+C254*31+C255*30+C256*31)/365,0)</f>
        <v>46557</v>
      </c>
      <c r="D244" s="485">
        <f>ROUND((D245*31+D246*28+D247*31+D248*30+D249*31+D250*30+D251*31+D252*31+D253*30+D254*31+D255*30+D256*31)/365,0)</f>
        <v>49859</v>
      </c>
      <c r="E244" s="485">
        <f>ROUND((E245*31+E246*28+E247*31+E248*30+E249*31+E250*30+E251*31+E252*31+E253*30+E254*31+E255*30+E256*31)/365,0)</f>
        <v>101976</v>
      </c>
      <c r="F244" s="485">
        <f>ROUND((F245*31+F246*28+F247*31+F248*30+F249*31+F250*30+F251*31+F252*31+F253*30+F254*31+F255*30+F256*31)/365,0)</f>
        <v>7882</v>
      </c>
      <c r="G244" s="485">
        <v>15205</v>
      </c>
      <c r="H244" s="485">
        <f aca="true" t="shared" si="17" ref="H244:M244">ROUND((H245*31+H246*28+H247*31+H248*30+H249*31+H250*30+H251*31+H252*31+H253*30+H254*31+H255*30+H256*31)/365,0)</f>
        <v>5959</v>
      </c>
      <c r="I244" s="485">
        <f t="shared" si="17"/>
        <v>19588</v>
      </c>
      <c r="J244" s="485">
        <f t="shared" si="17"/>
        <v>14139</v>
      </c>
      <c r="K244" s="485">
        <f t="shared" si="17"/>
        <v>26398</v>
      </c>
      <c r="L244" s="485">
        <f t="shared" si="17"/>
        <v>28955</v>
      </c>
      <c r="M244" s="485">
        <f t="shared" si="17"/>
        <v>15956</v>
      </c>
      <c r="N244" s="396"/>
    </row>
    <row r="245" spans="1:14" ht="12" customHeight="1">
      <c r="A245" s="266" t="s">
        <v>302</v>
      </c>
      <c r="B245" s="403">
        <v>32662.204878699013</v>
      </c>
      <c r="C245" s="401">
        <v>40919</v>
      </c>
      <c r="D245" s="401">
        <v>38009</v>
      </c>
      <c r="E245" s="401">
        <v>94159</v>
      </c>
      <c r="F245" s="402">
        <v>5317</v>
      </c>
      <c r="G245" s="323">
        <v>10741</v>
      </c>
      <c r="H245" s="401">
        <v>6408.1612903225805</v>
      </c>
      <c r="I245" s="401">
        <v>19383</v>
      </c>
      <c r="J245" s="401">
        <v>13887</v>
      </c>
      <c r="K245" s="401">
        <v>26169.419354838712</v>
      </c>
      <c r="L245" s="401">
        <v>22295.60988973358</v>
      </c>
      <c r="M245" s="396">
        <v>11112.380152723726</v>
      </c>
      <c r="N245" s="396"/>
    </row>
    <row r="246" spans="1:14" ht="12" customHeight="1">
      <c r="A246" s="492" t="s">
        <v>303</v>
      </c>
      <c r="B246" s="493">
        <v>34052.97880565182</v>
      </c>
      <c r="C246" s="494">
        <v>42344</v>
      </c>
      <c r="D246" s="494">
        <v>40459</v>
      </c>
      <c r="E246" s="494">
        <v>98865</v>
      </c>
      <c r="F246" s="495">
        <v>5607</v>
      </c>
      <c r="G246" s="503">
        <v>10821</v>
      </c>
      <c r="H246" s="494">
        <v>6929.392857142857</v>
      </c>
      <c r="I246" s="494">
        <v>21377</v>
      </c>
      <c r="J246" s="494">
        <v>15527</v>
      </c>
      <c r="K246" s="494">
        <v>28334.285714285714</v>
      </c>
      <c r="L246" s="494">
        <v>24570.54329693661</v>
      </c>
      <c r="M246" s="498">
        <v>12335.690417566955</v>
      </c>
      <c r="N246" s="396"/>
    </row>
    <row r="247" spans="1:14" ht="12" customHeight="1">
      <c r="A247" s="266" t="s">
        <v>304</v>
      </c>
      <c r="B247" s="403">
        <v>36382.211543588375</v>
      </c>
      <c r="C247" s="401">
        <v>43636</v>
      </c>
      <c r="D247" s="401">
        <v>44944</v>
      </c>
      <c r="E247" s="401">
        <v>100931</v>
      </c>
      <c r="F247" s="402">
        <v>6034</v>
      </c>
      <c r="G247" s="323">
        <v>12044</v>
      </c>
      <c r="H247" s="401">
        <v>6275.032258064516</v>
      </c>
      <c r="I247" s="401">
        <v>20718</v>
      </c>
      <c r="J247" s="401">
        <v>14905</v>
      </c>
      <c r="K247" s="401">
        <v>27956.709677419356</v>
      </c>
      <c r="L247" s="401">
        <v>26664.45106499555</v>
      </c>
      <c r="M247" s="396">
        <v>13353.500958778213</v>
      </c>
      <c r="N247" s="396"/>
    </row>
    <row r="248" spans="1:14" ht="12" customHeight="1">
      <c r="A248" s="492" t="s">
        <v>305</v>
      </c>
      <c r="B248" s="493">
        <v>42177.18128499067</v>
      </c>
      <c r="C248" s="494">
        <v>46706</v>
      </c>
      <c r="D248" s="494">
        <v>50651</v>
      </c>
      <c r="E248" s="494">
        <v>104293</v>
      </c>
      <c r="F248" s="495">
        <v>8798</v>
      </c>
      <c r="G248" s="503">
        <v>16305</v>
      </c>
      <c r="H248" s="494">
        <v>5447.833333333333</v>
      </c>
      <c r="I248" s="494">
        <v>19299</v>
      </c>
      <c r="J248" s="494">
        <v>13692</v>
      </c>
      <c r="K248" s="494">
        <v>26170.2</v>
      </c>
      <c r="L248" s="494">
        <v>29096.901981599432</v>
      </c>
      <c r="M248" s="498">
        <v>16435.120178215504</v>
      </c>
      <c r="N248" s="396"/>
    </row>
    <row r="249" spans="1:14" ht="12" customHeight="1">
      <c r="A249" s="266" t="s">
        <v>306</v>
      </c>
      <c r="B249" s="403">
        <v>42696.50693148494</v>
      </c>
      <c r="C249" s="401">
        <v>47671</v>
      </c>
      <c r="D249" s="401">
        <v>50230</v>
      </c>
      <c r="E249" s="401">
        <v>104221</v>
      </c>
      <c r="F249" s="402">
        <v>6934</v>
      </c>
      <c r="G249" s="323">
        <v>13071.79520999653</v>
      </c>
      <c r="H249" s="401">
        <v>4454.612903225807</v>
      </c>
      <c r="I249" s="401">
        <v>19962</v>
      </c>
      <c r="J249" s="401">
        <v>13460</v>
      </c>
      <c r="K249" s="401">
        <v>27710.806451612905</v>
      </c>
      <c r="L249" s="401">
        <v>28549.51373193617</v>
      </c>
      <c r="M249" s="396">
        <v>15301.53858373141</v>
      </c>
      <c r="N249" s="396"/>
    </row>
    <row r="250" spans="1:14" ht="12" customHeight="1">
      <c r="A250" s="492" t="s">
        <v>978</v>
      </c>
      <c r="B250" s="493">
        <v>46080.23487070115</v>
      </c>
      <c r="C250" s="494">
        <v>51089</v>
      </c>
      <c r="D250" s="494">
        <v>52036</v>
      </c>
      <c r="E250" s="494">
        <v>106808</v>
      </c>
      <c r="F250" s="495">
        <v>8529</v>
      </c>
      <c r="G250" s="503">
        <v>14603.187434918435</v>
      </c>
      <c r="H250" s="494">
        <v>5114.066666666666</v>
      </c>
      <c r="I250" s="494">
        <v>19378</v>
      </c>
      <c r="J250" s="494">
        <v>13655</v>
      </c>
      <c r="K250" s="494">
        <v>26623.966666666664</v>
      </c>
      <c r="L250" s="494">
        <v>32669.672682236374</v>
      </c>
      <c r="M250" s="498">
        <v>18338.588345644275</v>
      </c>
      <c r="N250" s="396"/>
    </row>
    <row r="251" spans="1:14" ht="12" customHeight="1">
      <c r="A251" s="266" t="s">
        <v>979</v>
      </c>
      <c r="B251" s="403">
        <v>55213.03039189549</v>
      </c>
      <c r="C251" s="401">
        <v>54793</v>
      </c>
      <c r="D251" s="401">
        <v>63156</v>
      </c>
      <c r="E251" s="401">
        <v>115041</v>
      </c>
      <c r="F251" s="402">
        <v>11075</v>
      </c>
      <c r="G251" s="323">
        <v>19803.844961240313</v>
      </c>
      <c r="H251" s="401">
        <v>5840.903225806452</v>
      </c>
      <c r="I251" s="401">
        <v>20312</v>
      </c>
      <c r="J251" s="401">
        <v>14394</v>
      </c>
      <c r="K251" s="401">
        <v>27283.032258064515</v>
      </c>
      <c r="L251" s="401">
        <v>37630.550989658244</v>
      </c>
      <c r="M251" s="396">
        <v>22227.472116006495</v>
      </c>
      <c r="N251" s="396"/>
    </row>
    <row r="252" spans="1:14" ht="12" customHeight="1">
      <c r="A252" s="492" t="s">
        <v>980</v>
      </c>
      <c r="B252" s="493">
        <v>63984.31604905358</v>
      </c>
      <c r="C252" s="494">
        <v>49916</v>
      </c>
      <c r="D252" s="494">
        <v>69648</v>
      </c>
      <c r="E252" s="494">
        <v>99324</v>
      </c>
      <c r="F252" s="495">
        <v>13816</v>
      </c>
      <c r="G252" s="503">
        <v>29944.099502487566</v>
      </c>
      <c r="H252" s="494">
        <v>8131.8387096774195</v>
      </c>
      <c r="I252" s="494">
        <v>11618</v>
      </c>
      <c r="J252" s="494">
        <v>10996</v>
      </c>
      <c r="K252" s="494">
        <v>13358.41935483871</v>
      </c>
      <c r="L252" s="494">
        <v>36042.94055201699</v>
      </c>
      <c r="M252" s="498">
        <v>24339.405217115047</v>
      </c>
      <c r="N252" s="396"/>
    </row>
    <row r="253" spans="1:14" ht="12" customHeight="1">
      <c r="A253" s="266" t="s">
        <v>981</v>
      </c>
      <c r="B253" s="403">
        <v>44317.655025326574</v>
      </c>
      <c r="C253" s="401">
        <v>48104</v>
      </c>
      <c r="D253" s="401">
        <v>50669</v>
      </c>
      <c r="E253" s="401">
        <v>102204</v>
      </c>
      <c r="F253" s="402">
        <v>8529</v>
      </c>
      <c r="G253" s="323">
        <v>15835.038643989355</v>
      </c>
      <c r="H253" s="401">
        <v>5586.3</v>
      </c>
      <c r="I253" s="401">
        <v>19351</v>
      </c>
      <c r="J253" s="401">
        <v>14137</v>
      </c>
      <c r="K253" s="401">
        <v>26228.63333333333</v>
      </c>
      <c r="L253" s="401">
        <v>29970.06546355272</v>
      </c>
      <c r="M253" s="396">
        <v>16908.841599249623</v>
      </c>
      <c r="N253" s="396"/>
    </row>
    <row r="254" spans="1:14" ht="12" customHeight="1">
      <c r="A254" s="492" t="s">
        <v>982</v>
      </c>
      <c r="B254" s="493">
        <v>40541.543455078645</v>
      </c>
      <c r="C254" s="494">
        <v>46289</v>
      </c>
      <c r="D254" s="494">
        <v>48470</v>
      </c>
      <c r="E254" s="494">
        <v>101913</v>
      </c>
      <c r="F254" s="495">
        <v>6904</v>
      </c>
      <c r="G254" s="503">
        <v>13342.159782482933</v>
      </c>
      <c r="H254" s="494">
        <v>5170.225806451613</v>
      </c>
      <c r="I254" s="494">
        <v>22186</v>
      </c>
      <c r="J254" s="494">
        <v>15514</v>
      </c>
      <c r="K254" s="494">
        <v>30042.903225806454</v>
      </c>
      <c r="L254" s="494">
        <v>28464.613725087325</v>
      </c>
      <c r="M254" s="498">
        <v>14901.863093279479</v>
      </c>
      <c r="N254" s="396"/>
    </row>
    <row r="255" spans="1:14" ht="12" customHeight="1">
      <c r="A255" s="266" t="s">
        <v>983</v>
      </c>
      <c r="B255" s="403">
        <v>36547.38962943215</v>
      </c>
      <c r="C255" s="401">
        <v>43571</v>
      </c>
      <c r="D255" s="401">
        <v>43965</v>
      </c>
      <c r="E255" s="401">
        <v>101005</v>
      </c>
      <c r="F255" s="402">
        <v>5948</v>
      </c>
      <c r="G255" s="323">
        <v>11732.884530834202</v>
      </c>
      <c r="H255" s="401">
        <v>5134.4333333333325</v>
      </c>
      <c r="I255" s="401">
        <v>21096</v>
      </c>
      <c r="J255" s="401">
        <v>14549</v>
      </c>
      <c r="K255" s="401">
        <v>28937.13333333333</v>
      </c>
      <c r="L255" s="401">
        <v>25406.63481953291</v>
      </c>
      <c r="M255" s="396">
        <v>12804.57028960019</v>
      </c>
      <c r="N255" s="396"/>
    </row>
    <row r="256" spans="1:14" ht="12" customHeight="1">
      <c r="A256" s="492" t="s">
        <v>984</v>
      </c>
      <c r="B256" s="493">
        <v>36981.395094641426</v>
      </c>
      <c r="C256" s="494">
        <v>43338</v>
      </c>
      <c r="D256" s="494">
        <v>45097</v>
      </c>
      <c r="E256" s="494">
        <v>94848</v>
      </c>
      <c r="F256" s="495">
        <v>6881</v>
      </c>
      <c r="G256" s="503">
        <v>13710.247367812102</v>
      </c>
      <c r="H256" s="494">
        <v>7029.774193548387</v>
      </c>
      <c r="I256" s="494">
        <v>20571</v>
      </c>
      <c r="J256" s="494">
        <v>15071</v>
      </c>
      <c r="K256" s="494">
        <v>28219.161290322583</v>
      </c>
      <c r="L256" s="494">
        <v>25722.424833915487</v>
      </c>
      <c r="M256" s="498">
        <v>13078.951130677502</v>
      </c>
      <c r="N256" s="396"/>
    </row>
    <row r="257" spans="1:14" ht="12" customHeight="1">
      <c r="A257" s="266"/>
      <c r="B257" s="403"/>
      <c r="C257" s="401"/>
      <c r="D257" s="401"/>
      <c r="E257" s="401"/>
      <c r="F257" s="402"/>
      <c r="G257" s="323"/>
      <c r="H257" s="401"/>
      <c r="I257" s="401"/>
      <c r="J257" s="401"/>
      <c r="K257" s="401"/>
      <c r="L257" s="401"/>
      <c r="M257" s="396"/>
      <c r="N257" s="396"/>
    </row>
    <row r="258" spans="1:14" ht="12" customHeight="1">
      <c r="A258" s="484">
        <v>2015</v>
      </c>
      <c r="B258" s="485">
        <f>ROUND((B259*31+B260*28+B261*31+B262*30+B263*31+B264*30+B265*31+B266*31+B267*30+B268*31+B269*30+B270*31)/365,0)</f>
        <v>44898</v>
      </c>
      <c r="C258" s="485">
        <f>ROUND((C259*31+C260*28+C261*31+C262*30+C263*31+C264*30+C265*31+C266*31+C267*30+C268*31+C269*30+C270*31)/365,0)</f>
        <v>48861</v>
      </c>
      <c r="D258" s="485">
        <f>ROUND((D259*31+D260*28+D261*31+D262*30+D263*31+D264*30+D265*31+D266*31+D267*30+D268*31+D269*30+D270*31)/365,0)</f>
        <v>44169</v>
      </c>
      <c r="E258" s="485">
        <f>ROUND((E259*31+E260*28+E261*31+E262*30+E263*31+E264*30+E265*31+E266*31+E267*30+E268*31+E269*30+E270*31)/365,0)</f>
        <v>105286</v>
      </c>
      <c r="F258" s="485">
        <f>ROUND((F259*31+F260*28+F261*31+F262*30+F263*31+F264*30+F265*31+F266*31+F267*30+F268*31+F269*30+F270*31)/365,0)</f>
        <v>8463</v>
      </c>
      <c r="G258" s="485">
        <v>16575</v>
      </c>
      <c r="H258" s="485">
        <f aca="true" t="shared" si="18" ref="H258:M258">ROUND((H259*31+H260*28+H261*31+H262*30+H263*31+H264*30+H265*31+H266*31+H267*30+H268*31+H269*30+H270*31)/365,0)</f>
        <v>6375</v>
      </c>
      <c r="I258" s="485">
        <f t="shared" si="18"/>
        <v>21041</v>
      </c>
      <c r="J258" s="485">
        <f t="shared" si="18"/>
        <v>13438</v>
      </c>
      <c r="K258" s="485">
        <f t="shared" si="18"/>
        <v>27865</v>
      </c>
      <c r="L258" s="485">
        <f t="shared" si="18"/>
        <v>30698</v>
      </c>
      <c r="M258" s="485">
        <f t="shared" si="18"/>
        <v>17051</v>
      </c>
      <c r="N258" s="396"/>
    </row>
    <row r="259" spans="1:14" ht="12" customHeight="1">
      <c r="A259" s="266" t="s">
        <v>302</v>
      </c>
      <c r="B259" s="403">
        <v>34370.953079178886</v>
      </c>
      <c r="C259" s="401">
        <v>41512</v>
      </c>
      <c r="D259" s="401">
        <v>33183</v>
      </c>
      <c r="E259" s="401">
        <v>95419</v>
      </c>
      <c r="F259" s="402">
        <v>5372</v>
      </c>
      <c r="G259" s="323">
        <v>11442.172278144164</v>
      </c>
      <c r="H259" s="401">
        <v>7004.8709677419365</v>
      </c>
      <c r="I259" s="401">
        <v>19620</v>
      </c>
      <c r="J259" s="401">
        <v>12443</v>
      </c>
      <c r="K259" s="401">
        <v>26175.96774193549</v>
      </c>
      <c r="L259" s="401">
        <v>23576.806383124444</v>
      </c>
      <c r="M259" s="396">
        <v>11521.211124096539</v>
      </c>
      <c r="N259" s="396"/>
    </row>
    <row r="260" spans="1:14" ht="12" customHeight="1">
      <c r="A260" s="492" t="s">
        <v>303</v>
      </c>
      <c r="B260" s="493">
        <v>36047.51679552119</v>
      </c>
      <c r="C260" s="494">
        <v>43516</v>
      </c>
      <c r="D260" s="494">
        <v>35278</v>
      </c>
      <c r="E260" s="494">
        <v>101528</v>
      </c>
      <c r="F260" s="495">
        <v>5770</v>
      </c>
      <c r="G260" s="503">
        <v>11778.08492421613</v>
      </c>
      <c r="H260" s="494">
        <v>7414.928571428571</v>
      </c>
      <c r="I260" s="494">
        <v>22376</v>
      </c>
      <c r="J260" s="494">
        <v>13946</v>
      </c>
      <c r="K260" s="494">
        <v>29425.39285714286</v>
      </c>
      <c r="L260" s="494">
        <v>25349.359265999396</v>
      </c>
      <c r="M260" s="498">
        <v>12839.079694487713</v>
      </c>
      <c r="N260" s="396"/>
    </row>
    <row r="261" spans="1:14" ht="12" customHeight="1">
      <c r="A261" s="266" t="s">
        <v>304</v>
      </c>
      <c r="B261" s="403">
        <v>37987.2060783791</v>
      </c>
      <c r="C261" s="401">
        <v>45691</v>
      </c>
      <c r="D261" s="401">
        <v>39633</v>
      </c>
      <c r="E261" s="401">
        <v>105364</v>
      </c>
      <c r="F261" s="402">
        <v>6749</v>
      </c>
      <c r="G261" s="323">
        <v>13833.139534883721</v>
      </c>
      <c r="H261" s="401">
        <v>6720.322580645162</v>
      </c>
      <c r="I261" s="401">
        <v>22380</v>
      </c>
      <c r="J261" s="401">
        <v>13778</v>
      </c>
      <c r="K261" s="401">
        <v>29563.677419354844</v>
      </c>
      <c r="L261" s="401">
        <v>27705.90199301418</v>
      </c>
      <c r="M261" s="396">
        <v>14257.708236415421</v>
      </c>
      <c r="N261" s="396"/>
    </row>
    <row r="262" spans="1:14" ht="12" customHeight="1">
      <c r="A262" s="492" t="s">
        <v>305</v>
      </c>
      <c r="B262" s="493">
        <v>44843.89602772594</v>
      </c>
      <c r="C262" s="494">
        <v>48965</v>
      </c>
      <c r="D262" s="494">
        <v>39339</v>
      </c>
      <c r="E262" s="494">
        <v>106907</v>
      </c>
      <c r="F262" s="495">
        <v>8950</v>
      </c>
      <c r="G262" s="503">
        <v>16920.28416059239</v>
      </c>
      <c r="H262" s="494">
        <v>5751.199999999999</v>
      </c>
      <c r="I262" s="494">
        <v>20935</v>
      </c>
      <c r="J262" s="494">
        <v>12819</v>
      </c>
      <c r="K262" s="494">
        <v>28043.7</v>
      </c>
      <c r="L262" s="494">
        <v>30347.770700636942</v>
      </c>
      <c r="M262" s="498">
        <v>17234.50814866925</v>
      </c>
      <c r="N262" s="396"/>
    </row>
    <row r="263" spans="1:14" ht="12" customHeight="1">
      <c r="A263" s="266" t="s">
        <v>306</v>
      </c>
      <c r="B263" s="403">
        <v>46869.588243135164</v>
      </c>
      <c r="C263" s="401">
        <v>51621</v>
      </c>
      <c r="D263" s="401">
        <v>44933</v>
      </c>
      <c r="E263" s="401">
        <v>106197</v>
      </c>
      <c r="F263" s="402">
        <v>8083</v>
      </c>
      <c r="G263" s="323">
        <v>14822.806201550391</v>
      </c>
      <c r="H263" s="401">
        <v>4969.677419354839</v>
      </c>
      <c r="I263" s="401">
        <v>21312</v>
      </c>
      <c r="J263" s="401">
        <v>12322</v>
      </c>
      <c r="K263" s="401">
        <v>29059.03225806452</v>
      </c>
      <c r="L263" s="401">
        <v>31964.940757482367</v>
      </c>
      <c r="M263" s="396">
        <v>17392.68605403198</v>
      </c>
      <c r="N263" s="396"/>
    </row>
    <row r="264" spans="1:14" ht="12" customHeight="1">
      <c r="A264" s="492" t="s">
        <v>978</v>
      </c>
      <c r="B264" s="493">
        <v>47078.63916288989</v>
      </c>
      <c r="C264" s="494">
        <v>54439</v>
      </c>
      <c r="D264" s="494">
        <v>46554</v>
      </c>
      <c r="E264" s="494">
        <v>110087</v>
      </c>
      <c r="F264" s="495">
        <v>8890</v>
      </c>
      <c r="G264" s="503">
        <v>15302.937058891588</v>
      </c>
      <c r="H264" s="494">
        <v>5090</v>
      </c>
      <c r="I264" s="494">
        <v>21918</v>
      </c>
      <c r="J264" s="494">
        <v>12719</v>
      </c>
      <c r="K264" s="494">
        <v>29330.6</v>
      </c>
      <c r="L264" s="494">
        <v>34636.26857749469</v>
      </c>
      <c r="M264" s="498">
        <v>19179.364521045845</v>
      </c>
      <c r="N264" s="396"/>
    </row>
    <row r="265" spans="1:14" ht="12" customHeight="1">
      <c r="A265" s="266" t="s">
        <v>979</v>
      </c>
      <c r="B265" s="403">
        <v>59828.92961876833</v>
      </c>
      <c r="C265" s="401">
        <v>59003</v>
      </c>
      <c r="D265" s="401">
        <v>57713</v>
      </c>
      <c r="E265" s="401">
        <v>118956</v>
      </c>
      <c r="F265" s="402">
        <v>11969</v>
      </c>
      <c r="G265" s="323">
        <v>22325.456323035985</v>
      </c>
      <c r="H265" s="401">
        <v>6490.451612903226</v>
      </c>
      <c r="I265" s="401">
        <v>22360</v>
      </c>
      <c r="J265" s="401">
        <v>13792</v>
      </c>
      <c r="K265" s="401">
        <v>29559.322580645163</v>
      </c>
      <c r="L265" s="401">
        <v>40210.29381549209</v>
      </c>
      <c r="M265" s="396">
        <v>24152.91321071563</v>
      </c>
      <c r="N265" s="396"/>
    </row>
    <row r="266" spans="1:14" ht="12" customHeight="1">
      <c r="A266" s="492" t="s">
        <v>980</v>
      </c>
      <c r="B266" s="493">
        <v>66201.00266595575</v>
      </c>
      <c r="C266" s="494">
        <v>51968</v>
      </c>
      <c r="D266" s="494">
        <v>65484</v>
      </c>
      <c r="E266" s="494">
        <v>103173</v>
      </c>
      <c r="F266" s="495">
        <v>14593</v>
      </c>
      <c r="G266" s="503">
        <v>31840.901423116975</v>
      </c>
      <c r="H266" s="494">
        <v>8486.838709677419</v>
      </c>
      <c r="I266" s="494">
        <v>12706</v>
      </c>
      <c r="J266" s="494">
        <v>11574</v>
      </c>
      <c r="K266" s="494">
        <v>14037.064516129032</v>
      </c>
      <c r="L266" s="494">
        <v>37515.16505718786</v>
      </c>
      <c r="M266" s="498">
        <v>25545.594726152525</v>
      </c>
      <c r="N266" s="396"/>
    </row>
    <row r="267" spans="1:14" ht="12" customHeight="1">
      <c r="A267" s="266" t="s">
        <v>981</v>
      </c>
      <c r="B267" s="403">
        <v>45581.65649160224</v>
      </c>
      <c r="C267" s="401">
        <v>49554</v>
      </c>
      <c r="D267" s="401">
        <v>45289</v>
      </c>
      <c r="E267" s="401">
        <v>106106</v>
      </c>
      <c r="F267" s="402">
        <v>8988</v>
      </c>
      <c r="G267" s="323">
        <v>17013.414786532456</v>
      </c>
      <c r="H267" s="401">
        <v>6011.566666666666</v>
      </c>
      <c r="I267" s="401">
        <v>21259</v>
      </c>
      <c r="J267" s="401">
        <v>13762</v>
      </c>
      <c r="K267" s="401">
        <v>28003.93333333333</v>
      </c>
      <c r="L267" s="401">
        <v>31258.97027600849</v>
      </c>
      <c r="M267" s="396">
        <v>17699.463008559036</v>
      </c>
      <c r="N267" s="396"/>
    </row>
    <row r="268" spans="1:14" ht="12" customHeight="1">
      <c r="A268" s="492" t="s">
        <v>982</v>
      </c>
      <c r="B268" s="493">
        <v>42693.227406025064</v>
      </c>
      <c r="C268" s="494">
        <v>48071</v>
      </c>
      <c r="D268" s="494">
        <v>43046</v>
      </c>
      <c r="E268" s="494">
        <v>106188</v>
      </c>
      <c r="F268" s="495">
        <v>7900</v>
      </c>
      <c r="G268" s="503">
        <v>15393.600833044082</v>
      </c>
      <c r="H268" s="494">
        <v>5702.67741935484</v>
      </c>
      <c r="I268" s="494">
        <v>22880</v>
      </c>
      <c r="J268" s="494">
        <v>14900</v>
      </c>
      <c r="K268" s="494">
        <v>30674.677419354844</v>
      </c>
      <c r="L268" s="494">
        <v>30195.12875830423</v>
      </c>
      <c r="M268" s="498">
        <v>16157.545981641386</v>
      </c>
      <c r="N268" s="396"/>
    </row>
    <row r="269" spans="1:14" ht="12" customHeight="1">
      <c r="A269" s="266" t="s">
        <v>983</v>
      </c>
      <c r="B269" s="403">
        <v>37986.37643295121</v>
      </c>
      <c r="C269" s="401">
        <v>46402</v>
      </c>
      <c r="D269" s="401">
        <v>38458</v>
      </c>
      <c r="E269" s="401">
        <v>106194</v>
      </c>
      <c r="F269" s="402">
        <v>6516</v>
      </c>
      <c r="G269" s="323">
        <v>12640.416637741526</v>
      </c>
      <c r="H269" s="401">
        <v>5317.199999999999</v>
      </c>
      <c r="I269" s="401">
        <v>23357</v>
      </c>
      <c r="J269" s="401">
        <v>14398</v>
      </c>
      <c r="K269" s="401">
        <v>31387.366666666665</v>
      </c>
      <c r="L269" s="401">
        <v>27603.634111818825</v>
      </c>
      <c r="M269" s="396">
        <v>14082.553640520578</v>
      </c>
      <c r="N269" s="396"/>
    </row>
    <row r="270" spans="1:14" ht="12" customHeight="1">
      <c r="A270" s="492" t="s">
        <v>984</v>
      </c>
      <c r="B270" s="493">
        <v>38301.07264729405</v>
      </c>
      <c r="C270" s="494">
        <v>45200</v>
      </c>
      <c r="D270" s="494">
        <v>40031</v>
      </c>
      <c r="E270" s="494">
        <v>97213</v>
      </c>
      <c r="F270" s="495">
        <v>7503</v>
      </c>
      <c r="G270" s="503">
        <v>14982.883720930233</v>
      </c>
      <c r="H270" s="494">
        <v>7535.096774193548</v>
      </c>
      <c r="I270" s="494">
        <v>21621</v>
      </c>
      <c r="J270" s="494">
        <v>14851</v>
      </c>
      <c r="K270" s="494">
        <v>29440.064516129034</v>
      </c>
      <c r="L270" s="494">
        <v>27530.549277446753</v>
      </c>
      <c r="M270" s="498">
        <v>14143.501299172844</v>
      </c>
      <c r="N270" s="396"/>
    </row>
    <row r="271" spans="1:14" ht="12" customHeight="1">
      <c r="A271" s="266"/>
      <c r="B271" s="403"/>
      <c r="C271" s="401"/>
      <c r="D271" s="401"/>
      <c r="E271" s="401"/>
      <c r="F271" s="402"/>
      <c r="G271" s="323"/>
      <c r="H271" s="401"/>
      <c r="I271" s="401"/>
      <c r="J271" s="401"/>
      <c r="K271" s="401"/>
      <c r="L271" s="401"/>
      <c r="M271" s="396"/>
      <c r="N271" s="396"/>
    </row>
    <row r="272" spans="1:14" ht="12" customHeight="1">
      <c r="A272" s="484">
        <v>2016</v>
      </c>
      <c r="B272" s="488">
        <v>45798</v>
      </c>
      <c r="C272" s="485">
        <v>50788</v>
      </c>
      <c r="D272" s="485"/>
      <c r="E272" s="485">
        <v>109885</v>
      </c>
      <c r="F272" s="489">
        <v>11465</v>
      </c>
      <c r="G272" s="490">
        <v>18579</v>
      </c>
      <c r="H272" s="485">
        <v>6804</v>
      </c>
      <c r="I272" s="485">
        <v>17930</v>
      </c>
      <c r="J272" s="485">
        <v>25443</v>
      </c>
      <c r="K272" s="485">
        <v>29599</v>
      </c>
      <c r="L272" s="485">
        <v>37191</v>
      </c>
      <c r="M272" s="491">
        <v>22311</v>
      </c>
      <c r="N272" s="396"/>
    </row>
    <row r="273" spans="1:14" ht="12" customHeight="1">
      <c r="A273" s="266" t="s">
        <v>302</v>
      </c>
      <c r="B273" s="403">
        <v>34805</v>
      </c>
      <c r="C273" s="401">
        <v>43473</v>
      </c>
      <c r="D273" s="401"/>
      <c r="E273" s="401">
        <v>98540</v>
      </c>
      <c r="F273" s="402">
        <v>7797</v>
      </c>
      <c r="G273" s="480">
        <v>13548</v>
      </c>
      <c r="H273" s="401">
        <v>7673</v>
      </c>
      <c r="I273" s="401">
        <v>14194</v>
      </c>
      <c r="J273" s="401">
        <v>20805</v>
      </c>
      <c r="K273" s="401">
        <v>27534</v>
      </c>
      <c r="L273" s="401">
        <v>29344</v>
      </c>
      <c r="M273" s="396">
        <v>16436</v>
      </c>
      <c r="N273" s="396"/>
    </row>
    <row r="274" spans="1:14" ht="12" customHeight="1">
      <c r="A274" s="492" t="s">
        <v>303</v>
      </c>
      <c r="B274" s="493">
        <v>36942</v>
      </c>
      <c r="C274" s="494">
        <v>45815</v>
      </c>
      <c r="D274" s="494"/>
      <c r="E274" s="494">
        <v>105901</v>
      </c>
      <c r="F274" s="495">
        <v>8180</v>
      </c>
      <c r="G274" s="505">
        <v>14031</v>
      </c>
      <c r="H274" s="494">
        <v>7400</v>
      </c>
      <c r="I274" s="494">
        <v>15749</v>
      </c>
      <c r="J274" s="494">
        <v>24401</v>
      </c>
      <c r="K274" s="494">
        <v>31263</v>
      </c>
      <c r="L274" s="494">
        <v>31617</v>
      </c>
      <c r="M274" s="498">
        <v>18006</v>
      </c>
      <c r="N274" s="396"/>
    </row>
    <row r="275" spans="1:14" ht="12" customHeight="1">
      <c r="A275" s="266" t="s">
        <v>304</v>
      </c>
      <c r="B275" s="403">
        <v>41109</v>
      </c>
      <c r="C275" s="401">
        <v>47862</v>
      </c>
      <c r="D275" s="401"/>
      <c r="E275" s="401">
        <v>109104</v>
      </c>
      <c r="F275" s="402">
        <v>11783</v>
      </c>
      <c r="G275" s="480">
        <v>18908</v>
      </c>
      <c r="H275" s="401">
        <v>8053</v>
      </c>
      <c r="I275" s="401">
        <v>16026</v>
      </c>
      <c r="J275" s="401">
        <v>22823</v>
      </c>
      <c r="K275" s="401">
        <v>28781</v>
      </c>
      <c r="L275" s="401">
        <v>31890</v>
      </c>
      <c r="M275" s="396">
        <v>18598</v>
      </c>
      <c r="N275" s="396"/>
    </row>
    <row r="276" spans="1:14" ht="12" customHeight="1">
      <c r="A276" s="492" t="s">
        <v>305</v>
      </c>
      <c r="B276" s="493">
        <v>43164</v>
      </c>
      <c r="C276" s="494">
        <v>50369</v>
      </c>
      <c r="D276" s="494"/>
      <c r="E276" s="494">
        <v>107835</v>
      </c>
      <c r="F276" s="495">
        <v>9124</v>
      </c>
      <c r="G276" s="505">
        <v>14979</v>
      </c>
      <c r="H276" s="494">
        <v>5110</v>
      </c>
      <c r="I276" s="494">
        <v>14022</v>
      </c>
      <c r="J276" s="494">
        <v>24322</v>
      </c>
      <c r="K276" s="494">
        <v>32343</v>
      </c>
      <c r="L276" s="494">
        <v>35927</v>
      </c>
      <c r="M276" s="498">
        <v>20789</v>
      </c>
      <c r="N276" s="396"/>
    </row>
    <row r="277" spans="1:14" ht="12" customHeight="1">
      <c r="A277" s="266" t="s">
        <v>306</v>
      </c>
      <c r="B277" s="403">
        <v>45943</v>
      </c>
      <c r="C277" s="401">
        <v>52403</v>
      </c>
      <c r="D277" s="401"/>
      <c r="E277" s="401">
        <v>111246</v>
      </c>
      <c r="F277" s="402">
        <v>10461</v>
      </c>
      <c r="G277" s="480">
        <v>15910</v>
      </c>
      <c r="H277" s="401">
        <v>5290</v>
      </c>
      <c r="I277" s="401">
        <v>14199</v>
      </c>
      <c r="J277" s="401">
        <v>23972</v>
      </c>
      <c r="K277" s="401">
        <v>31562</v>
      </c>
      <c r="L277" s="401">
        <v>37829</v>
      </c>
      <c r="M277" s="396">
        <v>22778</v>
      </c>
      <c r="N277" s="396"/>
    </row>
    <row r="278" spans="1:14" ht="12" customHeight="1">
      <c r="A278" s="492" t="s">
        <v>978</v>
      </c>
      <c r="B278" s="493">
        <v>48902</v>
      </c>
      <c r="C278" s="494">
        <v>55773</v>
      </c>
      <c r="D278" s="494"/>
      <c r="E278" s="494">
        <v>117057</v>
      </c>
      <c r="F278" s="495">
        <v>11882</v>
      </c>
      <c r="G278" s="505">
        <v>16913</v>
      </c>
      <c r="H278" s="494">
        <v>5630</v>
      </c>
      <c r="I278" s="494">
        <v>14391</v>
      </c>
      <c r="J278" s="494">
        <v>24318</v>
      </c>
      <c r="K278" s="494">
        <v>32311</v>
      </c>
      <c r="L278" s="494">
        <v>40909</v>
      </c>
      <c r="M278" s="498">
        <v>24892</v>
      </c>
      <c r="N278" s="396"/>
    </row>
    <row r="279" spans="1:14" ht="12" customHeight="1">
      <c r="A279" s="266" t="s">
        <v>979</v>
      </c>
      <c r="B279" s="403">
        <v>63208</v>
      </c>
      <c r="C279" s="401">
        <v>61400</v>
      </c>
      <c r="D279" s="401"/>
      <c r="E279" s="401">
        <v>125320</v>
      </c>
      <c r="F279" s="402">
        <v>16581</v>
      </c>
      <c r="G279" s="480">
        <v>26690</v>
      </c>
      <c r="H279" s="401">
        <v>7248</v>
      </c>
      <c r="I279" s="401">
        <v>15273</v>
      </c>
      <c r="J279" s="401">
        <v>23298</v>
      </c>
      <c r="K279" s="401">
        <v>30173</v>
      </c>
      <c r="L279" s="401">
        <v>48669</v>
      </c>
      <c r="M279" s="396">
        <v>30850</v>
      </c>
      <c r="N279" s="396"/>
    </row>
    <row r="280" spans="1:14" ht="12" customHeight="1">
      <c r="A280" s="492" t="s">
        <v>980</v>
      </c>
      <c r="B280" s="493">
        <v>68197</v>
      </c>
      <c r="C280" s="494">
        <v>54661</v>
      </c>
      <c r="D280" s="494"/>
      <c r="E280" s="494">
        <v>110212</v>
      </c>
      <c r="F280" s="495">
        <v>19119</v>
      </c>
      <c r="G280" s="505">
        <v>32960</v>
      </c>
      <c r="H280" s="494">
        <v>8715</v>
      </c>
      <c r="I280" s="494">
        <v>12659</v>
      </c>
      <c r="J280" s="494">
        <v>14430</v>
      </c>
      <c r="K280" s="494">
        <v>15632</v>
      </c>
      <c r="L280" s="494">
        <v>44755</v>
      </c>
      <c r="M280" s="498">
        <v>30916</v>
      </c>
      <c r="N280" s="396"/>
    </row>
    <row r="281" spans="1:14" ht="12" customHeight="1">
      <c r="A281" s="266" t="s">
        <v>981</v>
      </c>
      <c r="B281" s="403">
        <v>47165</v>
      </c>
      <c r="C281" s="401">
        <v>53544</v>
      </c>
      <c r="D281" s="401"/>
      <c r="E281" s="401">
        <v>112461</v>
      </c>
      <c r="F281" s="402">
        <v>12441</v>
      </c>
      <c r="G281" s="480">
        <v>19169</v>
      </c>
      <c r="H281" s="401">
        <v>6000</v>
      </c>
      <c r="I281" s="401">
        <v>14603</v>
      </c>
      <c r="J281" s="401">
        <v>24224</v>
      </c>
      <c r="K281" s="401">
        <v>31361</v>
      </c>
      <c r="L281" s="401">
        <v>40791</v>
      </c>
      <c r="M281" s="396">
        <v>24062</v>
      </c>
      <c r="N281" s="396"/>
    </row>
    <row r="282" spans="1:14" ht="12" customHeight="1">
      <c r="A282" s="492" t="s">
        <v>982</v>
      </c>
      <c r="B282" s="493">
        <v>42805</v>
      </c>
      <c r="C282" s="494">
        <v>49808</v>
      </c>
      <c r="D282" s="494"/>
      <c r="E282" s="494">
        <v>109737</v>
      </c>
      <c r="F282" s="495">
        <v>10375</v>
      </c>
      <c r="G282" s="505">
        <v>17414</v>
      </c>
      <c r="H282" s="494">
        <v>6329</v>
      </c>
      <c r="I282" s="494">
        <v>16264</v>
      </c>
      <c r="J282" s="494">
        <v>24289</v>
      </c>
      <c r="K282" s="494">
        <v>31626</v>
      </c>
      <c r="L282" s="494">
        <v>37142</v>
      </c>
      <c r="M282" s="498">
        <v>21435</v>
      </c>
      <c r="N282" s="396"/>
    </row>
    <row r="283" spans="1:14" ht="12" customHeight="1">
      <c r="A283" s="266" t="s">
        <v>983</v>
      </c>
      <c r="B283" s="403">
        <v>38332</v>
      </c>
      <c r="C283" s="401">
        <v>47869</v>
      </c>
      <c r="D283" s="401"/>
      <c r="E283" s="401">
        <v>110826</v>
      </c>
      <c r="F283" s="402">
        <v>8988</v>
      </c>
      <c r="G283" s="480">
        <v>15283</v>
      </c>
      <c r="H283" s="401">
        <v>5670</v>
      </c>
      <c r="I283" s="401">
        <v>15287</v>
      </c>
      <c r="J283" s="401">
        <v>25626</v>
      </c>
      <c r="K283" s="401">
        <v>33247</v>
      </c>
      <c r="L283" s="401">
        <v>33549</v>
      </c>
      <c r="M283" s="396">
        <v>19744</v>
      </c>
      <c r="N283" s="396"/>
    </row>
    <row r="284" spans="1:14" ht="12" customHeight="1">
      <c r="A284" s="492" t="s">
        <v>984</v>
      </c>
      <c r="B284" s="493">
        <v>38250</v>
      </c>
      <c r="C284" s="494">
        <v>46298</v>
      </c>
      <c r="D284" s="494"/>
      <c r="E284" s="494">
        <v>100402</v>
      </c>
      <c r="F284" s="495">
        <v>10523</v>
      </c>
      <c r="G284" s="505">
        <v>16596</v>
      </c>
      <c r="H284" s="494">
        <v>8411</v>
      </c>
      <c r="I284" s="494">
        <v>15931</v>
      </c>
      <c r="J284" s="494">
        <v>22809</v>
      </c>
      <c r="K284" s="494">
        <v>29816</v>
      </c>
      <c r="L284" s="494">
        <v>33594</v>
      </c>
      <c r="M284" s="498">
        <v>18958</v>
      </c>
      <c r="N284" s="396"/>
    </row>
    <row r="285" spans="1:14" ht="12" customHeight="1">
      <c r="A285" s="229"/>
      <c r="B285" s="408"/>
      <c r="C285" s="406"/>
      <c r="D285" s="406"/>
      <c r="E285" s="406"/>
      <c r="F285" s="407"/>
      <c r="G285" s="695"/>
      <c r="H285" s="406"/>
      <c r="I285" s="406"/>
      <c r="J285" s="406"/>
      <c r="K285" s="406"/>
      <c r="L285" s="406"/>
      <c r="M285" s="405"/>
      <c r="N285" s="396"/>
    </row>
    <row r="286" spans="1:14" ht="12" customHeight="1">
      <c r="A286" s="484">
        <v>2017</v>
      </c>
      <c r="B286" s="488">
        <v>42526</v>
      </c>
      <c r="C286" s="485">
        <v>48680</v>
      </c>
      <c r="D286" s="485">
        <v>48378</v>
      </c>
      <c r="E286" s="485"/>
      <c r="F286" s="489">
        <v>9592</v>
      </c>
      <c r="G286" s="490">
        <v>18473</v>
      </c>
      <c r="H286" s="485">
        <v>6971</v>
      </c>
      <c r="I286" s="485">
        <v>24644</v>
      </c>
      <c r="J286" s="485">
        <v>15696</v>
      </c>
      <c r="K286" s="485">
        <v>30371</v>
      </c>
      <c r="L286" s="485">
        <v>34316</v>
      </c>
      <c r="M286" s="491">
        <v>19506</v>
      </c>
      <c r="N286" s="396"/>
    </row>
    <row r="287" spans="1:14" ht="12" customHeight="1">
      <c r="A287" s="266" t="s">
        <v>302</v>
      </c>
      <c r="B287" s="403">
        <v>31367</v>
      </c>
      <c r="C287" s="401">
        <v>40328</v>
      </c>
      <c r="D287" s="401">
        <v>36321</v>
      </c>
      <c r="E287" s="401"/>
      <c r="F287" s="402">
        <v>6268</v>
      </c>
      <c r="G287" s="480">
        <v>12972</v>
      </c>
      <c r="H287" s="401">
        <v>7462</v>
      </c>
      <c r="I287" s="401">
        <v>23591</v>
      </c>
      <c r="J287" s="401">
        <v>15130</v>
      </c>
      <c r="K287" s="401">
        <v>29302</v>
      </c>
      <c r="L287" s="401">
        <v>26648</v>
      </c>
      <c r="M287" s="396">
        <v>13345</v>
      </c>
      <c r="N287" s="396"/>
    </row>
    <row r="288" spans="1:14" ht="12" customHeight="1">
      <c r="A288" s="492" t="s">
        <v>303</v>
      </c>
      <c r="B288" s="493">
        <v>32700</v>
      </c>
      <c r="C288" s="494">
        <v>42034</v>
      </c>
      <c r="D288" s="494">
        <v>38161</v>
      </c>
      <c r="E288" s="494"/>
      <c r="F288" s="495">
        <v>6671</v>
      </c>
      <c r="G288" s="505">
        <v>13504</v>
      </c>
      <c r="H288" s="494">
        <v>7942</v>
      </c>
      <c r="I288" s="494">
        <v>25148</v>
      </c>
      <c r="J288" s="494">
        <v>16307</v>
      </c>
      <c r="K288" s="494">
        <v>31170</v>
      </c>
      <c r="L288" s="494">
        <v>28226</v>
      </c>
      <c r="M288" s="498">
        <v>14209</v>
      </c>
      <c r="N288" s="396"/>
    </row>
    <row r="289" spans="1:14" ht="12" customHeight="1">
      <c r="A289" s="266" t="s">
        <v>304</v>
      </c>
      <c r="B289" s="403">
        <v>33799</v>
      </c>
      <c r="C289" s="401">
        <v>43628</v>
      </c>
      <c r="D289" s="401">
        <v>39842</v>
      </c>
      <c r="E289" s="401"/>
      <c r="F289" s="402">
        <v>7273</v>
      </c>
      <c r="G289" s="480">
        <v>15142</v>
      </c>
      <c r="H289" s="401">
        <v>7571</v>
      </c>
      <c r="I289" s="401">
        <v>26056</v>
      </c>
      <c r="J289" s="401">
        <v>16483</v>
      </c>
      <c r="K289" s="401">
        <v>32209</v>
      </c>
      <c r="L289" s="401">
        <v>29446</v>
      </c>
      <c r="M289" s="396">
        <v>15011</v>
      </c>
      <c r="N289" s="396"/>
    </row>
    <row r="290" spans="1:14" ht="12" customHeight="1">
      <c r="A290" s="492" t="s">
        <v>305</v>
      </c>
      <c r="B290" s="493">
        <v>36571</v>
      </c>
      <c r="C290" s="494">
        <v>45027</v>
      </c>
      <c r="D290" s="494">
        <v>43038</v>
      </c>
      <c r="E290" s="494"/>
      <c r="F290" s="495">
        <v>11040</v>
      </c>
      <c r="G290" s="505">
        <v>20632</v>
      </c>
      <c r="H290" s="494">
        <v>7340</v>
      </c>
      <c r="I290" s="494">
        <v>25317</v>
      </c>
      <c r="J290" s="494">
        <v>16128</v>
      </c>
      <c r="K290" s="494">
        <v>31395</v>
      </c>
      <c r="L290" s="494">
        <v>30981</v>
      </c>
      <c r="M290" s="498">
        <v>16530</v>
      </c>
      <c r="N290" s="396"/>
    </row>
    <row r="291" spans="1:14" ht="12" customHeight="1">
      <c r="A291" s="266" t="s">
        <v>306</v>
      </c>
      <c r="B291" s="403">
        <v>37322</v>
      </c>
      <c r="C291" s="401">
        <v>46291</v>
      </c>
      <c r="D291" s="401">
        <v>43479</v>
      </c>
      <c r="E291" s="401"/>
      <c r="F291" s="402">
        <v>8271</v>
      </c>
      <c r="G291" s="480">
        <v>16122</v>
      </c>
      <c r="H291" s="401">
        <v>6853</v>
      </c>
      <c r="I291" s="401">
        <v>25622</v>
      </c>
      <c r="J291" s="401">
        <v>15902</v>
      </c>
      <c r="K291" s="401">
        <v>31804</v>
      </c>
      <c r="L291" s="401">
        <v>31816</v>
      </c>
      <c r="M291" s="396">
        <v>17028</v>
      </c>
      <c r="N291" s="396"/>
    </row>
    <row r="292" spans="1:14" ht="12" customHeight="1">
      <c r="A292" s="492" t="s">
        <v>978</v>
      </c>
      <c r="B292" s="493">
        <v>39198</v>
      </c>
      <c r="C292" s="494">
        <v>47923</v>
      </c>
      <c r="D292" s="494">
        <v>45288</v>
      </c>
      <c r="E292" s="494"/>
      <c r="F292" s="495">
        <v>10190</v>
      </c>
      <c r="G292" s="505">
        <v>18609</v>
      </c>
      <c r="H292" s="494">
        <v>6996</v>
      </c>
      <c r="I292" s="494">
        <v>25862</v>
      </c>
      <c r="J292" s="494">
        <v>15910</v>
      </c>
      <c r="K292" s="494">
        <v>32081</v>
      </c>
      <c r="L292" s="494">
        <v>33123</v>
      </c>
      <c r="M292" s="498">
        <v>17985</v>
      </c>
      <c r="N292" s="396"/>
    </row>
    <row r="293" spans="1:14" ht="12" customHeight="1">
      <c r="A293" s="266" t="s">
        <v>979</v>
      </c>
      <c r="B293" s="403">
        <v>42122</v>
      </c>
      <c r="C293" s="401">
        <v>49786</v>
      </c>
      <c r="D293" s="401">
        <v>47875</v>
      </c>
      <c r="E293" s="401"/>
      <c r="F293" s="402">
        <v>13651</v>
      </c>
      <c r="G293" s="480">
        <v>26489</v>
      </c>
      <c r="H293" s="401">
        <v>6792</v>
      </c>
      <c r="I293" s="401">
        <v>25714</v>
      </c>
      <c r="J293" s="401">
        <v>15935</v>
      </c>
      <c r="K293" s="401">
        <v>31970</v>
      </c>
      <c r="L293" s="401">
        <v>34848</v>
      </c>
      <c r="M293" s="396">
        <v>19435</v>
      </c>
      <c r="N293" s="396"/>
    </row>
    <row r="294" spans="1:14" ht="12" customHeight="1">
      <c r="A294" s="492" t="s">
        <v>980</v>
      </c>
      <c r="B294" s="493">
        <v>44809</v>
      </c>
      <c r="C294" s="494">
        <v>50084</v>
      </c>
      <c r="D294" s="494">
        <v>50294</v>
      </c>
      <c r="E294" s="494"/>
      <c r="F294" s="495">
        <v>15232</v>
      </c>
      <c r="G294" s="505">
        <v>33368</v>
      </c>
      <c r="H294" s="494">
        <v>7087</v>
      </c>
      <c r="I294" s="494">
        <v>24453</v>
      </c>
      <c r="J294" s="494">
        <v>15630</v>
      </c>
      <c r="K294" s="494">
        <v>30012</v>
      </c>
      <c r="L294" s="494">
        <v>35446</v>
      </c>
      <c r="M294" s="498">
        <v>20466</v>
      </c>
      <c r="N294" s="396"/>
    </row>
    <row r="295" spans="1:14" ht="12" customHeight="1">
      <c r="A295" s="266" t="s">
        <v>981</v>
      </c>
      <c r="B295" s="403">
        <v>44759</v>
      </c>
      <c r="C295" s="401">
        <v>50015</v>
      </c>
      <c r="D295" s="401">
        <v>50290</v>
      </c>
      <c r="E295" s="401"/>
      <c r="F295" s="402">
        <v>10144</v>
      </c>
      <c r="G295" s="480">
        <v>20367</v>
      </c>
      <c r="H295" s="401">
        <v>7027</v>
      </c>
      <c r="I295" s="401">
        <v>24482</v>
      </c>
      <c r="J295" s="401">
        <v>15615</v>
      </c>
      <c r="K295" s="401">
        <v>30079</v>
      </c>
      <c r="L295" s="401">
        <v>35467</v>
      </c>
      <c r="M295" s="396">
        <v>20497</v>
      </c>
      <c r="N295" s="396"/>
    </row>
    <row r="296" spans="1:14" ht="12" customHeight="1">
      <c r="A296" s="492" t="s">
        <v>982</v>
      </c>
      <c r="B296" s="493">
        <v>44044</v>
      </c>
      <c r="C296" s="494">
        <v>49635</v>
      </c>
      <c r="D296" s="494">
        <v>49714</v>
      </c>
      <c r="E296" s="494"/>
      <c r="F296" s="495">
        <v>8419</v>
      </c>
      <c r="G296" s="505">
        <v>16669</v>
      </c>
      <c r="H296" s="494">
        <v>6915</v>
      </c>
      <c r="I296" s="494">
        <v>24594</v>
      </c>
      <c r="J296" s="494">
        <v>15636</v>
      </c>
      <c r="K296" s="494">
        <v>30242</v>
      </c>
      <c r="L296" s="494">
        <v>35198</v>
      </c>
      <c r="M296" s="498">
        <v>20227</v>
      </c>
      <c r="N296" s="396"/>
    </row>
    <row r="297" spans="1:14" ht="12" customHeight="1">
      <c r="A297" s="266" t="s">
        <v>983</v>
      </c>
      <c r="B297" s="403">
        <v>43199</v>
      </c>
      <c r="C297" s="401">
        <v>49248</v>
      </c>
      <c r="D297" s="401">
        <v>48959</v>
      </c>
      <c r="E297" s="401"/>
      <c r="F297" s="402">
        <v>9493</v>
      </c>
      <c r="G297" s="480">
        <v>14917</v>
      </c>
      <c r="H297" s="401">
        <v>6800</v>
      </c>
      <c r="I297" s="401">
        <v>24809</v>
      </c>
      <c r="J297" s="401">
        <v>15655</v>
      </c>
      <c r="K297" s="401">
        <v>30499</v>
      </c>
      <c r="L297" s="401">
        <v>34770</v>
      </c>
      <c r="M297" s="396">
        <v>19862</v>
      </c>
      <c r="N297" s="396"/>
    </row>
    <row r="298" spans="1:14" ht="12" customHeight="1">
      <c r="A298" s="492" t="s">
        <v>984</v>
      </c>
      <c r="B298" s="493">
        <v>42526</v>
      </c>
      <c r="C298" s="494">
        <v>48680</v>
      </c>
      <c r="D298" s="494">
        <v>48378</v>
      </c>
      <c r="E298" s="494"/>
      <c r="F298" s="495">
        <v>8253</v>
      </c>
      <c r="G298" s="505">
        <v>16861</v>
      </c>
      <c r="H298" s="494">
        <v>6971</v>
      </c>
      <c r="I298" s="494">
        <v>24644</v>
      </c>
      <c r="J298" s="494">
        <v>15696</v>
      </c>
      <c r="K298" s="494">
        <v>30371</v>
      </c>
      <c r="L298" s="494">
        <v>34316</v>
      </c>
      <c r="M298" s="498">
        <v>19506</v>
      </c>
      <c r="N298" s="396"/>
    </row>
    <row r="299" spans="1:14" ht="12" customHeight="1">
      <c r="A299" s="229"/>
      <c r="B299" s="408"/>
      <c r="C299" s="406"/>
      <c r="D299" s="406"/>
      <c r="E299" s="406"/>
      <c r="F299" s="407"/>
      <c r="G299" s="695"/>
      <c r="H299" s="406"/>
      <c r="I299" s="406"/>
      <c r="J299" s="406"/>
      <c r="K299" s="406"/>
      <c r="L299" s="406"/>
      <c r="M299" s="405"/>
      <c r="N299" s="396"/>
    </row>
    <row r="300" spans="1:14" ht="12" customHeight="1">
      <c r="A300" s="484">
        <v>2018</v>
      </c>
      <c r="B300" s="488">
        <v>43164</v>
      </c>
      <c r="C300" s="485">
        <v>49372</v>
      </c>
      <c r="D300" s="485">
        <v>49649</v>
      </c>
      <c r="E300" s="485"/>
      <c r="F300" s="489">
        <v>9657</v>
      </c>
      <c r="G300" s="490">
        <v>20081</v>
      </c>
      <c r="H300" s="485">
        <v>7203</v>
      </c>
      <c r="I300" s="485">
        <v>26203</v>
      </c>
      <c r="J300" s="485">
        <v>16397</v>
      </c>
      <c r="K300" s="485">
        <v>30800</v>
      </c>
      <c r="L300" s="485">
        <v>15226</v>
      </c>
      <c r="M300" s="491">
        <v>20278</v>
      </c>
      <c r="N300" s="396"/>
    </row>
    <row r="301" spans="1:13" ht="12" customHeight="1">
      <c r="A301" s="266" t="s">
        <v>302</v>
      </c>
      <c r="B301" s="403">
        <f>'[2]IMD01'!$L$15</f>
        <v>33146.30116383339</v>
      </c>
      <c r="C301" s="401">
        <f>'[2]IMD01'!$L$21</f>
        <v>42280.13014247826</v>
      </c>
      <c r="D301" s="401">
        <f>'[2]IMD01'!$L$16</f>
        <v>38451.64054564857</v>
      </c>
      <c r="E301" s="401"/>
      <c r="F301" s="402">
        <f>'[3]Gen 18'!$H$22</f>
        <v>6503.26098876802</v>
      </c>
      <c r="G301" s="480">
        <f>'[4]Gen 18'!$H$23</f>
        <v>13893.228624320258</v>
      </c>
      <c r="H301" s="401">
        <f>'[2]IMD01'!$L$76</f>
        <v>7929.129032258065</v>
      </c>
      <c r="I301" s="401">
        <f>'[2]IMD01'!$L$49</f>
        <v>25794</v>
      </c>
      <c r="J301" s="401">
        <f>'[2]IMD01'!$L$50</f>
        <v>16222</v>
      </c>
      <c r="K301" s="401">
        <f>'[2]IMD01'!$L$77</f>
        <v>30671.161290322583</v>
      </c>
      <c r="L301" s="401">
        <f>'[2]IMD01'!$L$27</f>
        <v>28494.226422847754</v>
      </c>
      <c r="M301" s="396">
        <f>'[2]IMD01'!$L$28</f>
        <v>14674.640600002269</v>
      </c>
    </row>
    <row r="302" spans="1:13" ht="12" customHeight="1">
      <c r="A302" s="492" t="s">
        <v>303</v>
      </c>
      <c r="B302" s="493">
        <f>'[2]IMD02'!$L$15</f>
        <v>33976.16561259011</v>
      </c>
      <c r="C302" s="494">
        <f>'[2]IMD02'!$L$21</f>
        <v>43706.66143130293</v>
      </c>
      <c r="D302" s="494">
        <f>'[2]IMD02'!$L$16</f>
        <v>39786.63454421227</v>
      </c>
      <c r="E302" s="494"/>
      <c r="F302" s="495">
        <f>'[3]Feb 18'!$H$22</f>
        <v>6720.956840895021</v>
      </c>
      <c r="G302" s="505">
        <f>'[4]Feb 18'!$H$23</f>
        <v>13812.677542519958</v>
      </c>
      <c r="H302" s="494">
        <f>'[2]IMD02'!$L$76</f>
        <v>7799.178571428571</v>
      </c>
      <c r="I302" s="494">
        <f>'[2]IMD02'!$L$49</f>
        <v>27614</v>
      </c>
      <c r="J302" s="494">
        <f>'[2]IMD02'!$L$50</f>
        <v>17399</v>
      </c>
      <c r="K302" s="494">
        <f>'[2]IMD02'!$L$77</f>
        <v>32824.142857142855</v>
      </c>
      <c r="L302" s="494">
        <f>'[2]IMD02'!$L$27</f>
        <v>30548.500530785564</v>
      </c>
      <c r="M302" s="498">
        <f>'[2]IMD02'!$L$28</f>
        <v>15551.454700768805</v>
      </c>
    </row>
    <row r="303" spans="1:13" ht="12" customHeight="1">
      <c r="A303" s="266" t="s">
        <v>304</v>
      </c>
      <c r="B303" s="403">
        <f>'[2]IMD03'!$L$15</f>
        <v>38393.105722378525</v>
      </c>
      <c r="C303" s="401">
        <f>'[2]IMD03'!$L$21</f>
        <v>46892.11003515697</v>
      </c>
      <c r="D303" s="401">
        <f>'[2]IMD03'!$L$16</f>
        <v>47126.03337661837</v>
      </c>
      <c r="E303" s="401"/>
      <c r="F303" s="402">
        <f>'[3]Mar 18'!$H$22</f>
        <v>8568.305297603256</v>
      </c>
      <c r="G303" s="480">
        <f>'[4]Mar 18'!$H$23</f>
        <v>17819.793243086893</v>
      </c>
      <c r="H303" s="401">
        <f>'[2]IMD03'!$L$76</f>
        <v>7997.494878944614</v>
      </c>
      <c r="I303" s="401">
        <f>'[2]IMD03'!$L$49</f>
        <v>26681</v>
      </c>
      <c r="J303" s="401">
        <f>'[2]IMD03'!$L$50</f>
        <v>17236</v>
      </c>
      <c r="K303" s="401">
        <f>'[2]IMD03'!$L$77</f>
        <v>30968.30729013092</v>
      </c>
      <c r="L303" s="401">
        <f>'[2]IMD03'!$L$27</f>
        <v>33216.87555646874</v>
      </c>
      <c r="M303" s="396">
        <f>'[2]IMD03'!$L$28</f>
        <v>18481.177311563202</v>
      </c>
    </row>
    <row r="304" spans="1:13" ht="12" customHeight="1">
      <c r="A304" s="492" t="s">
        <v>305</v>
      </c>
      <c r="B304" s="493">
        <f>'[2]IMD04'!$L$15</f>
        <v>42790.24905623376</v>
      </c>
      <c r="C304" s="494">
        <f>'[2]IMD04'!$L$21</f>
        <v>49130.03377947737</v>
      </c>
      <c r="D304" s="494">
        <f>'[2]IMD04'!$L$16</f>
        <v>48908.83785040521</v>
      </c>
      <c r="E304" s="494"/>
      <c r="F304" s="495">
        <f>'[3]Abr 18'!$H$22</f>
        <v>9390.281595471833</v>
      </c>
      <c r="G304" s="505">
        <f>'[4]Abr 18'!$H$23</f>
        <v>18454.664005553623</v>
      </c>
      <c r="H304" s="494">
        <f>'[2]IMD04'!$L$76</f>
        <v>5917.366666666667</v>
      </c>
      <c r="I304" s="494">
        <f>'[2]IMD04'!$L$49</f>
        <v>26276</v>
      </c>
      <c r="J304" s="494">
        <f>'[2]IMD04'!$L$50</f>
        <v>15209</v>
      </c>
      <c r="K304" s="494">
        <f>'[2]IMD04'!$L$77</f>
        <v>32008.833333333332</v>
      </c>
      <c r="L304" s="494">
        <f>'[2]IMD04'!$L$27</f>
        <v>34979.70452937013</v>
      </c>
      <c r="M304" s="498">
        <f>'[2]IMD04'!$L$28</f>
        <v>20018.033767147383</v>
      </c>
    </row>
    <row r="305" spans="1:13" ht="12" customHeight="1">
      <c r="A305" s="266" t="s">
        <v>306</v>
      </c>
      <c r="B305" s="403">
        <f>'[2]IMD05'!$L$15</f>
        <v>44391.401961389005</v>
      </c>
      <c r="C305" s="401">
        <f>'[2]IMD05'!$L$21</f>
        <v>50837.61857768458</v>
      </c>
      <c r="D305" s="401">
        <f>'[2]IMD05'!$L$16</f>
        <v>48680.849265225836</v>
      </c>
      <c r="E305" s="401"/>
      <c r="F305" s="402">
        <f>'[3]Mai 18'!$H$22</f>
        <v>8563.035906960291</v>
      </c>
      <c r="G305" s="480">
        <f>'[4]Mai 18'!$H$23</f>
        <v>17189.353580932548</v>
      </c>
      <c r="H305" s="401">
        <f>'[2]IMD05'!$L$76</f>
        <v>5264.193548387096</v>
      </c>
      <c r="I305" s="401">
        <f>'[2]IMD05'!$L$49</f>
        <v>27882</v>
      </c>
      <c r="J305" s="401">
        <f>'[2]IMD05'!$L$50</f>
        <v>15290</v>
      </c>
      <c r="K305" s="401">
        <f>'[2]IMD05'!$L$77</f>
        <v>33273.51612903226</v>
      </c>
      <c r="L305" s="401">
        <f>'[2]IMD05'!$L$27</f>
        <v>35616.00061639614</v>
      </c>
      <c r="M305" s="396">
        <f>'[2]IMD05'!$L$28</f>
        <v>19909.418719435394</v>
      </c>
    </row>
    <row r="306" spans="1:13" ht="12" customHeight="1">
      <c r="A306" s="492" t="s">
        <v>978</v>
      </c>
      <c r="B306" s="493">
        <f>'[2]IMD06'!$L$15</f>
        <v>45967.20718733148</v>
      </c>
      <c r="C306" s="494">
        <f>'[2]IMD06'!$L$21</f>
        <v>55495.227533460806</v>
      </c>
      <c r="D306" s="494">
        <f>'[2]IMD06'!$L$16</f>
        <v>51615.25973163278</v>
      </c>
      <c r="E306" s="494"/>
      <c r="F306" s="495">
        <f>'[3]Jun 18'!$H$22</f>
        <v>9950.570177765983</v>
      </c>
      <c r="G306" s="505">
        <f>'[4]Jun 18'!$H$23</f>
        <v>17938.077866481544</v>
      </c>
      <c r="H306" s="494">
        <f>'[2]IMD06'!$L$76</f>
        <v>5941.799999999999</v>
      </c>
      <c r="I306" s="494">
        <f>'[2]IMD06'!$L$49</f>
        <v>27990</v>
      </c>
      <c r="J306" s="494">
        <f>'[2]IMD06'!$L$50</f>
        <v>15909</v>
      </c>
      <c r="K306" s="494">
        <f>'[2]IMD06'!$L$77</f>
        <v>33467.26666666666</v>
      </c>
      <c r="L306" s="494">
        <f>'[2]IMD06'!$L$27</f>
        <v>39775.99787685774</v>
      </c>
      <c r="M306" s="498">
        <f>'[2]IMD06'!$L$28</f>
        <v>22843.186774533944</v>
      </c>
    </row>
    <row r="307" spans="1:13" ht="12" customHeight="1">
      <c r="A307" s="266" t="s">
        <v>979</v>
      </c>
      <c r="B307" s="403">
        <f>'[2]IMD07'!$L$15</f>
        <v>58712.59435685513</v>
      </c>
      <c r="C307" s="401">
        <f>'[2]IMD07'!$L$21</f>
        <v>61000.57731450071</v>
      </c>
      <c r="D307" s="401">
        <f>'[2]IMD07'!$L$16</f>
        <v>63226.215945178</v>
      </c>
      <c r="E307" s="401"/>
      <c r="F307" s="402">
        <f>'[3]Jul 18'!$H$22</f>
        <v>13418.531529141237</v>
      </c>
      <c r="G307" s="480">
        <f>'[4]Jul 18'!$H$23</f>
        <v>25419.578271433526</v>
      </c>
      <c r="H307" s="401">
        <f>'[2]IMD07'!$L$76</f>
        <v>7527.032258064516</v>
      </c>
      <c r="I307" s="401">
        <f>'[2]IMD07'!$L$49</f>
        <v>26812</v>
      </c>
      <c r="J307" s="401">
        <f>'[2]IMD07'!$L$50</f>
        <v>16626</v>
      </c>
      <c r="K307" s="401">
        <f>'[2]IMD07'!$L$77</f>
        <v>32072.45161290323</v>
      </c>
      <c r="L307" s="401">
        <f>'[2]IMD07'!$L$27</f>
        <v>45138.19430176015</v>
      </c>
      <c r="M307" s="396">
        <f>'[2]IMD07'!$L$28</f>
        <v>28422.106361975646</v>
      </c>
    </row>
    <row r="308" spans="1:13" ht="12" customHeight="1">
      <c r="A308" s="492" t="s">
        <v>980</v>
      </c>
      <c r="B308" s="493">
        <f>'[2]IMD08'!$L$15</f>
        <v>64352.24534917374</v>
      </c>
      <c r="C308" s="494">
        <f>'[2]IMD08'!$L$21</f>
        <v>53226.55153272066</v>
      </c>
      <c r="D308" s="494">
        <f>'[2]IMD08'!$L$16</f>
        <v>68601.52933311048</v>
      </c>
      <c r="E308" s="494"/>
      <c r="F308" s="495">
        <f>'[3]Ago 18'!$H$22</f>
        <v>15231.93207747413</v>
      </c>
      <c r="G308" s="505">
        <f>'[4]Ago 18'!$H$23</f>
        <v>33528.5248177716</v>
      </c>
      <c r="H308" s="494">
        <f>'[2]IMD08'!$L$76</f>
        <v>9642.354838709676</v>
      </c>
      <c r="I308" s="494">
        <f>'[2]IMD08'!$L$49</f>
        <v>16789</v>
      </c>
      <c r="J308" s="494">
        <f>'[2]IMD08'!$L$50</f>
        <v>14140</v>
      </c>
      <c r="K308" s="494">
        <f>'[2]IMD08'!$L$77</f>
        <v>16775.61290322581</v>
      </c>
      <c r="L308" s="494">
        <f>'[2]IMD08'!$L$27</f>
        <v>41227.83713444285</v>
      </c>
      <c r="M308" s="498">
        <f>'[2]IMD08'!$L$28</f>
        <v>28595.304823391914</v>
      </c>
    </row>
    <row r="309" spans="1:13" ht="12" customHeight="1">
      <c r="A309" s="266" t="s">
        <v>981</v>
      </c>
      <c r="B309" s="403">
        <f>'[2]IMD09'!$L$15</f>
        <v>45469.31264401628</v>
      </c>
      <c r="C309" s="401">
        <f>'[2]IMD09'!$L$21</f>
        <v>51017.02166985341</v>
      </c>
      <c r="D309" s="401">
        <f>'[2]IMD09'!$L$16</f>
        <v>52303.176564368274</v>
      </c>
      <c r="E309" s="401"/>
      <c r="F309" s="402">
        <f>'[3]Sep 18'!$H$22</f>
        <v>10771.138763597772</v>
      </c>
      <c r="G309" s="480">
        <f>'[4]Sep 18'!$H$23</f>
        <v>23023.20097188476</v>
      </c>
      <c r="H309" s="401">
        <f>'[2]IMD09'!$L$76</f>
        <v>7326.966666666667</v>
      </c>
      <c r="I309" s="401">
        <f>'[2]IMD09'!$L$49</f>
        <v>25524</v>
      </c>
      <c r="J309" s="401">
        <f>'[2]IMD09'!$L$50</f>
        <v>16565</v>
      </c>
      <c r="K309" s="401">
        <f>'[2]IMD09'!$L$77</f>
        <v>30036</v>
      </c>
      <c r="L309" s="401">
        <f>'[2]IMD09'!$L$27</f>
        <v>36193.101556970985</v>
      </c>
      <c r="M309" s="396">
        <f>'[2]IMD09'!$L$28</f>
        <v>21341.714151717668</v>
      </c>
    </row>
    <row r="310" spans="1:13" ht="12" customHeight="1">
      <c r="A310" s="492" t="s">
        <v>982</v>
      </c>
      <c r="B310" s="493">
        <f>'[2]IMD10'!$L$15</f>
        <v>39316.50503631938</v>
      </c>
      <c r="C310" s="494">
        <f>'[2]IMD10'!$L$21</f>
        <v>48109.11799173503</v>
      </c>
      <c r="D310" s="494">
        <f>'[2]IMD10'!$L$16</f>
        <v>47756.7884647527</v>
      </c>
      <c r="E310" s="494"/>
      <c r="F310" s="495">
        <f>'[3]Oct 18'!$H$22</f>
        <v>9341.636066153711</v>
      </c>
      <c r="G310" s="505">
        <f>'[4]Oct 18'!$H$23</f>
        <v>20398.50491727409</v>
      </c>
      <c r="H310" s="494">
        <f>'[2]IMD10'!$L$76</f>
        <v>6084.290322580646</v>
      </c>
      <c r="I310" s="494">
        <f>'[2]IMD10'!$L$49</f>
        <v>29325</v>
      </c>
      <c r="J310" s="494">
        <f>'[2]IMD10'!$L$50</f>
        <v>17331</v>
      </c>
      <c r="K310" s="494">
        <f>'[2]IMD10'!$L$77</f>
        <v>34404.032258064515</v>
      </c>
      <c r="L310" s="494">
        <f>'[2]IMD10'!$L$27</f>
        <v>34570.392438874056</v>
      </c>
      <c r="M310" s="498">
        <f>'[2]IMD10'!$L$28</f>
        <v>19184.898959527076</v>
      </c>
    </row>
    <row r="311" spans="1:13" ht="12" customHeight="1">
      <c r="A311" s="266" t="s">
        <v>983</v>
      </c>
      <c r="B311" s="403">
        <f>'[2]IMD11'!$L$15</f>
        <v>35939.535126152856</v>
      </c>
      <c r="C311" s="401">
        <f>'[2]IMD11'!$L$21</f>
        <v>46285.46653919695</v>
      </c>
      <c r="D311" s="401">
        <f>'[2]IMD11'!$L$16</f>
        <v>44629.335740293274</v>
      </c>
      <c r="E311" s="401"/>
      <c r="F311" s="402">
        <f>'[3]Nov 18'!$H$22</f>
        <v>8392.426461484036</v>
      </c>
      <c r="G311" s="480">
        <f>'[4]Nov 18'!$H$23</f>
        <v>19163.7550618998</v>
      </c>
      <c r="H311" s="401">
        <f>'[2]IMD11'!$L$76</f>
        <v>6414.2</v>
      </c>
      <c r="I311" s="401">
        <f>'[2]IMD11'!$L$49</f>
        <v>29307</v>
      </c>
      <c r="J311" s="401">
        <f>'[2]IMD11'!$L$50</f>
        <v>17895</v>
      </c>
      <c r="K311" s="401">
        <f>'[2]IMD11'!$L$77</f>
        <v>33872.7</v>
      </c>
      <c r="L311" s="401">
        <f>'[2]IMD11'!$L$27</f>
        <v>31636.403043170558</v>
      </c>
      <c r="M311" s="396">
        <f>'[2]IMD11'!$L$28</f>
        <v>17128.801735256184</v>
      </c>
    </row>
    <row r="312" spans="1:13" ht="12" customHeight="1">
      <c r="A312" s="492" t="s">
        <v>984</v>
      </c>
      <c r="B312" s="493">
        <f>'[2]IMD12'!$L$15</f>
        <v>34547.495599447735</v>
      </c>
      <c r="C312" s="494">
        <f>'[2]IMD12'!$L$21</f>
        <v>44083.60328131746</v>
      </c>
      <c r="D312" s="494">
        <f>'[2]IMD12'!$L$16</f>
        <v>43704.797888890316</v>
      </c>
      <c r="E312" s="494"/>
      <c r="F312" s="495">
        <f>'[3]Des 18'!$H$22</f>
        <v>8746.765640891705</v>
      </c>
      <c r="G312" s="505">
        <f>'[4]Des 18'!$H$23</f>
        <v>19672.2179798681</v>
      </c>
      <c r="H312" s="494">
        <f>'[2]IMD12'!$L$74</f>
        <v>8551.290322580646</v>
      </c>
      <c r="I312" s="494">
        <f>'[2]IMD12'!$L$49</f>
        <v>24712</v>
      </c>
      <c r="J312" s="494">
        <f>'[2]IMD12'!$L$50</f>
        <v>17042</v>
      </c>
      <c r="K312" s="494">
        <f>'[2]IMD12'!$L$75</f>
        <v>29623.935483870973</v>
      </c>
      <c r="L312" s="494">
        <f>'[2]IMD12'!$L$27</f>
        <v>30915.940688993905</v>
      </c>
      <c r="M312" s="498">
        <f>'[2]IMD12'!$L$28</f>
        <v>16736.918067012353</v>
      </c>
    </row>
    <row r="313" spans="1:14" ht="12">
      <c r="A313" s="400"/>
      <c r="B313" s="785"/>
      <c r="C313" s="785"/>
      <c r="D313" s="785"/>
      <c r="E313" s="785"/>
      <c r="F313" s="785"/>
      <c r="G313" s="785"/>
      <c r="H313" s="786"/>
      <c r="I313" s="787"/>
      <c r="J313" s="787"/>
      <c r="K313" s="787"/>
      <c r="L313" s="787"/>
      <c r="M313" s="787"/>
      <c r="N313" s="782"/>
    </row>
    <row r="314" spans="1:14" ht="12">
      <c r="A314" s="94"/>
      <c r="B314" s="783"/>
      <c r="C314" s="388"/>
      <c r="D314" s="388"/>
      <c r="E314" s="388"/>
      <c r="F314" s="784"/>
      <c r="G314" s="322"/>
      <c r="H314" s="388"/>
      <c r="I314" s="388"/>
      <c r="J314" s="388"/>
      <c r="K314" s="388"/>
      <c r="L314" s="388"/>
      <c r="M314" s="404"/>
      <c r="N314" s="399"/>
    </row>
    <row r="315" spans="1:14" ht="12">
      <c r="A315" s="395" t="s">
        <v>1319</v>
      </c>
      <c r="B315" s="388"/>
      <c r="C315" s="387"/>
      <c r="D315" s="394"/>
      <c r="E315" s="394"/>
      <c r="F315" s="393"/>
      <c r="G315" s="393"/>
      <c r="H315" s="393"/>
      <c r="I315" s="393"/>
      <c r="J315" s="393"/>
      <c r="K315" s="394"/>
      <c r="L315" s="393"/>
      <c r="M315" s="393"/>
      <c r="N315" s="392"/>
    </row>
    <row r="316" spans="1:14" ht="12">
      <c r="A316" s="395" t="s">
        <v>1085</v>
      </c>
      <c r="B316" s="388"/>
      <c r="C316" s="387"/>
      <c r="D316" s="394"/>
      <c r="E316" s="394"/>
      <c r="F316" s="393"/>
      <c r="G316" s="393"/>
      <c r="H316" s="393"/>
      <c r="I316" s="393"/>
      <c r="J316" s="393"/>
      <c r="K316" s="394"/>
      <c r="L316" s="393"/>
      <c r="M316" s="393"/>
      <c r="N316" s="392"/>
    </row>
    <row r="317" spans="1:14" ht="12">
      <c r="A317" s="395" t="s">
        <v>1123</v>
      </c>
      <c r="B317" s="388"/>
      <c r="C317" s="387"/>
      <c r="D317" s="394"/>
      <c r="E317" s="394"/>
      <c r="F317" s="393"/>
      <c r="G317" s="393"/>
      <c r="H317" s="393"/>
      <c r="I317" s="393"/>
      <c r="J317" s="393"/>
      <c r="K317" s="394"/>
      <c r="L317" s="393"/>
      <c r="M317" s="393"/>
      <c r="N317" s="392"/>
    </row>
    <row r="318" spans="1:11" ht="12">
      <c r="A318" s="696" t="s">
        <v>1320</v>
      </c>
      <c r="B318" s="389"/>
      <c r="C318" s="391"/>
      <c r="D318" s="382"/>
      <c r="E318" s="382"/>
      <c r="K318" s="382"/>
    </row>
    <row r="319" spans="1:11" ht="12">
      <c r="A319" s="100"/>
      <c r="B319" s="389"/>
      <c r="C319" s="391"/>
      <c r="D319" s="382"/>
      <c r="E319" s="382"/>
      <c r="K319" s="382"/>
    </row>
    <row r="320" spans="1:11" ht="12">
      <c r="A320" s="100"/>
      <c r="B320" s="389"/>
      <c r="C320" s="391"/>
      <c r="D320" s="382"/>
      <c r="E320" s="382"/>
      <c r="K320" s="382"/>
    </row>
    <row r="321" spans="1:11" ht="12">
      <c r="A321" s="100"/>
      <c r="B321" s="389"/>
      <c r="C321" s="391"/>
      <c r="D321" s="382"/>
      <c r="E321" s="382"/>
      <c r="K321" s="382"/>
    </row>
    <row r="322" spans="1:11" ht="12">
      <c r="A322" s="101"/>
      <c r="B322" s="389"/>
      <c r="C322" s="391"/>
      <c r="D322" s="382"/>
      <c r="E322" s="382"/>
      <c r="K322" s="382"/>
    </row>
    <row r="323" spans="1:11" ht="12">
      <c r="A323" s="101"/>
      <c r="B323" s="389"/>
      <c r="C323" s="391"/>
      <c r="D323" s="382"/>
      <c r="E323" s="382"/>
      <c r="K323" s="382"/>
    </row>
    <row r="324" spans="1:11" ht="12">
      <c r="A324" s="90"/>
      <c r="B324" s="389"/>
      <c r="C324" s="391"/>
      <c r="D324" s="382"/>
      <c r="E324" s="382"/>
      <c r="K324" s="382"/>
    </row>
    <row r="325" spans="1:11" ht="12">
      <c r="A325" s="100"/>
      <c r="B325" s="389"/>
      <c r="C325" s="391"/>
      <c r="D325" s="382"/>
      <c r="E325" s="382"/>
      <c r="K325" s="382"/>
    </row>
    <row r="326" spans="1:11" ht="12">
      <c r="A326" s="100"/>
      <c r="B326" s="389"/>
      <c r="C326" s="391"/>
      <c r="D326" s="382"/>
      <c r="E326" s="382"/>
      <c r="K326" s="382"/>
    </row>
    <row r="327" spans="1:11" ht="12">
      <c r="A327" s="100"/>
      <c r="B327" s="389"/>
      <c r="C327" s="391"/>
      <c r="D327" s="382"/>
      <c r="E327" s="382"/>
      <c r="K327" s="382"/>
    </row>
    <row r="328" spans="1:11" ht="12">
      <c r="A328" s="100"/>
      <c r="B328" s="389"/>
      <c r="C328" s="391"/>
      <c r="D328" s="382"/>
      <c r="E328" s="382"/>
      <c r="K328" s="382"/>
    </row>
    <row r="329" spans="1:11" ht="12">
      <c r="A329" s="101"/>
      <c r="B329" s="389"/>
      <c r="C329" s="391"/>
      <c r="D329" s="382"/>
      <c r="E329" s="382"/>
      <c r="K329" s="382"/>
    </row>
    <row r="330" spans="1:11" ht="12">
      <c r="A330" s="90"/>
      <c r="B330" s="389"/>
      <c r="C330" s="391"/>
      <c r="D330" s="382"/>
      <c r="E330" s="382"/>
      <c r="K330" s="382"/>
    </row>
    <row r="331" spans="1:11" ht="12">
      <c r="A331" s="100"/>
      <c r="B331" s="389"/>
      <c r="C331" s="391"/>
      <c r="D331" s="382"/>
      <c r="E331" s="382"/>
      <c r="K331" s="382"/>
    </row>
    <row r="332" spans="1:11" ht="12">
      <c r="A332" s="100"/>
      <c r="B332" s="389"/>
      <c r="C332" s="391"/>
      <c r="D332" s="382"/>
      <c r="E332" s="382"/>
      <c r="K332" s="382"/>
    </row>
    <row r="333" spans="1:11" ht="12">
      <c r="A333" s="100"/>
      <c r="B333" s="389"/>
      <c r="C333" s="391"/>
      <c r="D333" s="382"/>
      <c r="E333" s="382"/>
      <c r="K333" s="382"/>
    </row>
    <row r="334" spans="1:11" ht="12">
      <c r="A334" s="100"/>
      <c r="B334" s="389"/>
      <c r="C334" s="391"/>
      <c r="D334" s="382"/>
      <c r="E334" s="382"/>
      <c r="K334" s="382"/>
    </row>
    <row r="335" spans="1:11" ht="12">
      <c r="A335" s="101"/>
      <c r="B335" s="389"/>
      <c r="C335" s="391"/>
      <c r="D335" s="382"/>
      <c r="E335" s="382"/>
      <c r="K335" s="382"/>
    </row>
    <row r="336" spans="1:11" ht="12">
      <c r="A336" s="90"/>
      <c r="B336" s="389"/>
      <c r="C336" s="391"/>
      <c r="D336" s="382"/>
      <c r="E336" s="382"/>
      <c r="K336" s="382"/>
    </row>
    <row r="337" spans="1:11" ht="12">
      <c r="A337" s="100"/>
      <c r="B337" s="389"/>
      <c r="C337" s="391"/>
      <c r="D337" s="382"/>
      <c r="E337" s="382"/>
      <c r="K337" s="382"/>
    </row>
    <row r="338" spans="1:11" ht="12">
      <c r="A338" s="100"/>
      <c r="B338" s="389"/>
      <c r="C338" s="391"/>
      <c r="D338" s="382"/>
      <c r="E338" s="382"/>
      <c r="K338" s="382"/>
    </row>
    <row r="339" spans="1:11" ht="12">
      <c r="A339" s="100"/>
      <c r="B339" s="389"/>
      <c r="C339" s="391"/>
      <c r="D339" s="382"/>
      <c r="E339" s="382"/>
      <c r="K339" s="382"/>
    </row>
    <row r="340" spans="1:11" ht="12">
      <c r="A340" s="100"/>
      <c r="B340" s="389"/>
      <c r="C340" s="391"/>
      <c r="D340" s="382"/>
      <c r="E340" s="382"/>
      <c r="K340" s="382"/>
    </row>
    <row r="341" spans="1:11" ht="12">
      <c r="A341" s="101"/>
      <c r="B341" s="389"/>
      <c r="C341" s="391"/>
      <c r="D341" s="382"/>
      <c r="E341" s="382"/>
      <c r="K341" s="382"/>
    </row>
    <row r="342" spans="1:11" ht="12">
      <c r="A342" s="90"/>
      <c r="B342" s="389"/>
      <c r="C342" s="391"/>
      <c r="D342" s="382"/>
      <c r="E342" s="382"/>
      <c r="K342" s="382"/>
    </row>
    <row r="343" spans="1:11" ht="12">
      <c r="A343" s="100"/>
      <c r="B343" s="389"/>
      <c r="C343" s="391"/>
      <c r="D343" s="382"/>
      <c r="E343" s="382"/>
      <c r="K343" s="382"/>
    </row>
    <row r="344" spans="1:11" ht="12">
      <c r="A344" s="100"/>
      <c r="B344" s="389"/>
      <c r="C344" s="391"/>
      <c r="D344" s="382"/>
      <c r="E344" s="382"/>
      <c r="K344" s="382"/>
    </row>
    <row r="345" spans="1:11" ht="12">
      <c r="A345" s="100"/>
      <c r="B345" s="389"/>
      <c r="C345" s="391"/>
      <c r="D345" s="382"/>
      <c r="E345" s="382"/>
      <c r="K345" s="382"/>
    </row>
    <row r="346" spans="1:11" ht="12">
      <c r="A346" s="100"/>
      <c r="B346" s="389"/>
      <c r="C346" s="391"/>
      <c r="D346" s="382"/>
      <c r="E346" s="382"/>
      <c r="K346" s="382"/>
    </row>
    <row r="347" spans="1:11" ht="12">
      <c r="A347" s="101"/>
      <c r="B347" s="389"/>
      <c r="C347" s="391"/>
      <c r="D347" s="382"/>
      <c r="E347" s="382"/>
      <c r="K347" s="382"/>
    </row>
    <row r="348" spans="1:11" ht="12">
      <c r="A348" s="100"/>
      <c r="B348" s="389"/>
      <c r="C348" s="391"/>
      <c r="D348" s="382"/>
      <c r="E348" s="382"/>
      <c r="K348" s="382"/>
    </row>
    <row r="349" spans="1:11" ht="12">
      <c r="A349" s="100"/>
      <c r="B349" s="389"/>
      <c r="C349" s="391"/>
      <c r="D349" s="382"/>
      <c r="E349" s="382"/>
      <c r="K349" s="382"/>
    </row>
    <row r="350" spans="1:11" ht="12">
      <c r="A350" s="100"/>
      <c r="B350" s="389"/>
      <c r="C350" s="391"/>
      <c r="D350" s="382"/>
      <c r="E350" s="382"/>
      <c r="K350" s="382"/>
    </row>
    <row r="351" spans="1:11" ht="12">
      <c r="A351" s="100"/>
      <c r="B351" s="389"/>
      <c r="C351" s="391"/>
      <c r="D351" s="382"/>
      <c r="E351" s="382"/>
      <c r="K351" s="382"/>
    </row>
    <row r="352" spans="1:11" ht="12">
      <c r="A352" s="100"/>
      <c r="B352" s="389"/>
      <c r="C352" s="391"/>
      <c r="D352" s="382"/>
      <c r="E352" s="382"/>
      <c r="K352" s="382"/>
    </row>
    <row r="353" spans="1:11" ht="12">
      <c r="A353" s="101"/>
      <c r="B353" s="389"/>
      <c r="C353" s="391"/>
      <c r="D353" s="382"/>
      <c r="E353" s="382"/>
      <c r="K353" s="382"/>
    </row>
    <row r="354" spans="1:11" ht="12">
      <c r="A354" s="101"/>
      <c r="B354" s="389"/>
      <c r="C354" s="391"/>
      <c r="D354" s="382"/>
      <c r="E354" s="382"/>
      <c r="K354" s="382"/>
    </row>
    <row r="355" spans="1:11" ht="12">
      <c r="A355" s="90"/>
      <c r="B355" s="389"/>
      <c r="C355" s="391"/>
      <c r="D355" s="382"/>
      <c r="E355" s="382"/>
      <c r="K355" s="382"/>
    </row>
    <row r="356" spans="1:11" ht="12">
      <c r="A356" s="100"/>
      <c r="B356" s="389"/>
      <c r="C356" s="391"/>
      <c r="D356" s="382"/>
      <c r="E356" s="382"/>
      <c r="K356" s="382"/>
    </row>
    <row r="357" spans="1:11" ht="12">
      <c r="A357" s="100"/>
      <c r="B357" s="389"/>
      <c r="C357" s="389"/>
      <c r="D357" s="390"/>
      <c r="E357" s="390"/>
      <c r="K357" s="390"/>
    </row>
    <row r="358" spans="1:11" ht="12">
      <c r="A358" s="100"/>
      <c r="B358" s="389"/>
      <c r="C358" s="389"/>
      <c r="D358" s="382"/>
      <c r="E358" s="382"/>
      <c r="K358" s="382"/>
    </row>
    <row r="359" spans="1:11" ht="12">
      <c r="A359" s="102"/>
      <c r="B359" s="388"/>
      <c r="C359" s="387"/>
      <c r="D359" s="382"/>
      <c r="E359" s="382"/>
      <c r="K359" s="382"/>
    </row>
    <row r="360" spans="1:11" ht="12">
      <c r="A360" s="102"/>
      <c r="B360" s="388"/>
      <c r="C360" s="387"/>
      <c r="D360" s="382"/>
      <c r="E360" s="382"/>
      <c r="K360" s="382"/>
    </row>
    <row r="361" spans="1:11" ht="12">
      <c r="A361" s="102"/>
      <c r="B361" s="388"/>
      <c r="C361" s="387"/>
      <c r="D361" s="382"/>
      <c r="E361" s="382"/>
      <c r="K361" s="382"/>
    </row>
    <row r="362" spans="1:11" ht="12.75">
      <c r="A362" s="103"/>
      <c r="B362" s="386"/>
      <c r="C362" s="385"/>
      <c r="D362" s="382"/>
      <c r="E362" s="382"/>
      <c r="K362" s="382"/>
    </row>
    <row r="363" spans="2:11" ht="12">
      <c r="B363" s="384"/>
      <c r="C363" s="383"/>
      <c r="D363" s="382"/>
      <c r="E363" s="382"/>
      <c r="K363" s="382"/>
    </row>
    <row r="364" spans="1:11" ht="12">
      <c r="A364" s="90"/>
      <c r="B364" s="384"/>
      <c r="C364" s="383"/>
      <c r="D364" s="382"/>
      <c r="E364" s="382"/>
      <c r="K364" s="382"/>
    </row>
    <row r="365" spans="1:11" ht="12">
      <c r="A365" s="90"/>
      <c r="B365" s="384"/>
      <c r="C365" s="383"/>
      <c r="D365" s="382"/>
      <c r="E365" s="382"/>
      <c r="K365" s="382"/>
    </row>
    <row r="366" spans="1:11" ht="12">
      <c r="A366" s="90"/>
      <c r="B366" s="384"/>
      <c r="C366" s="383"/>
      <c r="D366" s="382"/>
      <c r="E366" s="382"/>
      <c r="K366" s="382"/>
    </row>
    <row r="367" spans="1:11" ht="12">
      <c r="A367" s="90"/>
      <c r="B367" s="384"/>
      <c r="C367" s="383"/>
      <c r="D367" s="382"/>
      <c r="E367" s="382"/>
      <c r="K367" s="382"/>
    </row>
    <row r="368" spans="1:11" ht="12">
      <c r="A368" s="90"/>
      <c r="B368" s="384"/>
      <c r="C368" s="383"/>
      <c r="D368" s="382"/>
      <c r="E368" s="382"/>
      <c r="K368" s="382"/>
    </row>
    <row r="369" spans="1:11" ht="12">
      <c r="A369" s="90"/>
      <c r="B369" s="384"/>
      <c r="C369" s="383"/>
      <c r="D369" s="382"/>
      <c r="E369" s="382"/>
      <c r="K369" s="382"/>
    </row>
    <row r="370" spans="1:11" ht="12">
      <c r="A370" s="90"/>
      <c r="B370" s="384"/>
      <c r="C370" s="383"/>
      <c r="D370" s="382"/>
      <c r="E370" s="382"/>
      <c r="K370" s="382"/>
    </row>
    <row r="371" spans="1:11" ht="12">
      <c r="A371" s="90"/>
      <c r="B371" s="384"/>
      <c r="C371" s="383"/>
      <c r="D371" s="382"/>
      <c r="E371" s="382"/>
      <c r="K371" s="382"/>
    </row>
    <row r="372" spans="1:11" ht="12">
      <c r="A372" s="90"/>
      <c r="B372" s="384"/>
      <c r="C372" s="383"/>
      <c r="D372" s="382"/>
      <c r="E372" s="382"/>
      <c r="K372" s="382"/>
    </row>
    <row r="373" spans="1:11" ht="12">
      <c r="A373" s="90"/>
      <c r="B373" s="384"/>
      <c r="C373" s="383"/>
      <c r="D373" s="382"/>
      <c r="E373" s="382"/>
      <c r="K373" s="382"/>
    </row>
    <row r="374" spans="1:11" ht="12">
      <c r="A374" s="90"/>
      <c r="B374" s="384"/>
      <c r="C374" s="383"/>
      <c r="D374" s="382"/>
      <c r="E374" s="382"/>
      <c r="K374" s="382"/>
    </row>
    <row r="375" spans="1:11" ht="12">
      <c r="A375" s="90"/>
      <c r="B375" s="384"/>
      <c r="C375" s="383"/>
      <c r="D375" s="382"/>
      <c r="E375" s="382"/>
      <c r="K375" s="382"/>
    </row>
    <row r="376" spans="1:11" ht="12">
      <c r="A376" s="90"/>
      <c r="B376" s="384"/>
      <c r="C376" s="383"/>
      <c r="D376" s="382"/>
      <c r="E376" s="382"/>
      <c r="K376" s="382"/>
    </row>
    <row r="377" spans="1:11" ht="12">
      <c r="A377" s="90"/>
      <c r="B377" s="384"/>
      <c r="C377" s="383"/>
      <c r="D377" s="382"/>
      <c r="E377" s="382"/>
      <c r="K377" s="382"/>
    </row>
    <row r="378" spans="1:11" ht="12">
      <c r="A378" s="90"/>
      <c r="B378" s="384"/>
      <c r="C378" s="383"/>
      <c r="D378" s="382"/>
      <c r="E378" s="382"/>
      <c r="K378" s="382"/>
    </row>
    <row r="379" spans="1:11" ht="12">
      <c r="A379" s="90"/>
      <c r="B379" s="384"/>
      <c r="C379" s="383"/>
      <c r="D379" s="382"/>
      <c r="E379" s="382"/>
      <c r="K379" s="382"/>
    </row>
    <row r="380" spans="1:11" ht="12">
      <c r="A380" s="90"/>
      <c r="B380" s="384"/>
      <c r="C380" s="383"/>
      <c r="D380" s="382"/>
      <c r="E380" s="382"/>
      <c r="K380" s="382"/>
    </row>
    <row r="381" spans="1:11" ht="12">
      <c r="A381" s="90"/>
      <c r="B381" s="384"/>
      <c r="C381" s="383"/>
      <c r="D381" s="382"/>
      <c r="E381" s="382"/>
      <c r="K381" s="382"/>
    </row>
    <row r="382" spans="1:11" ht="12">
      <c r="A382" s="90"/>
      <c r="B382" s="384"/>
      <c r="C382" s="383"/>
      <c r="D382" s="382"/>
      <c r="E382" s="382"/>
      <c r="K382" s="382"/>
    </row>
    <row r="383" spans="1:11" ht="12">
      <c r="A383" s="90"/>
      <c r="B383" s="384"/>
      <c r="C383" s="383"/>
      <c r="D383" s="382"/>
      <c r="E383" s="382"/>
      <c r="K383" s="382"/>
    </row>
    <row r="384" spans="1:11" ht="12">
      <c r="A384" s="90"/>
      <c r="B384" s="384"/>
      <c r="C384" s="383"/>
      <c r="D384" s="382"/>
      <c r="E384" s="382"/>
      <c r="K384" s="382"/>
    </row>
    <row r="385" spans="1:11" ht="12">
      <c r="A385" s="90"/>
      <c r="B385" s="384"/>
      <c r="C385" s="383"/>
      <c r="D385" s="382"/>
      <c r="E385" s="382"/>
      <c r="K385" s="382"/>
    </row>
    <row r="386" spans="1:11" ht="12">
      <c r="A386" s="90"/>
      <c r="B386" s="384"/>
      <c r="C386" s="383"/>
      <c r="D386" s="382"/>
      <c r="E386" s="382"/>
      <c r="K386" s="382"/>
    </row>
    <row r="387" spans="1:11" ht="12">
      <c r="A387" s="90"/>
      <c r="B387" s="384"/>
      <c r="C387" s="383"/>
      <c r="D387" s="382"/>
      <c r="E387" s="382"/>
      <c r="K387" s="382"/>
    </row>
    <row r="388" spans="1:11" ht="12">
      <c r="A388" s="90"/>
      <c r="B388" s="384"/>
      <c r="C388" s="383"/>
      <c r="D388" s="382"/>
      <c r="E388" s="382"/>
      <c r="K388" s="382"/>
    </row>
    <row r="389" spans="1:11" ht="12">
      <c r="A389" s="90"/>
      <c r="B389" s="384"/>
      <c r="C389" s="383"/>
      <c r="D389" s="382"/>
      <c r="E389" s="382"/>
      <c r="K389" s="382"/>
    </row>
    <row r="390" spans="1:11" ht="12">
      <c r="A390" s="90"/>
      <c r="B390" s="384"/>
      <c r="C390" s="383"/>
      <c r="D390" s="382"/>
      <c r="E390" s="382"/>
      <c r="K390" s="382"/>
    </row>
    <row r="391" spans="1:11" ht="12">
      <c r="A391" s="90"/>
      <c r="B391" s="384"/>
      <c r="C391" s="383"/>
      <c r="D391" s="382"/>
      <c r="E391" s="382"/>
      <c r="K391" s="382"/>
    </row>
    <row r="392" spans="1:11" ht="12">
      <c r="A392" s="90"/>
      <c r="B392" s="384"/>
      <c r="C392" s="383"/>
      <c r="D392" s="382"/>
      <c r="E392" s="382"/>
      <c r="K392" s="382"/>
    </row>
    <row r="393" spans="1:11" ht="12">
      <c r="A393" s="90"/>
      <c r="B393" s="384"/>
      <c r="C393" s="383"/>
      <c r="D393" s="382"/>
      <c r="E393" s="382"/>
      <c r="K393" s="382"/>
    </row>
    <row r="394" spans="1:11" ht="12">
      <c r="A394" s="90"/>
      <c r="B394" s="384"/>
      <c r="C394" s="383"/>
      <c r="D394" s="382"/>
      <c r="E394" s="382"/>
      <c r="K394" s="382"/>
    </row>
    <row r="395" spans="1:11" ht="12">
      <c r="A395" s="90"/>
      <c r="B395" s="384"/>
      <c r="C395" s="383"/>
      <c r="D395" s="382"/>
      <c r="E395" s="382"/>
      <c r="K395" s="382"/>
    </row>
    <row r="396" spans="1:11" ht="12">
      <c r="A396" s="90"/>
      <c r="B396" s="384"/>
      <c r="C396" s="383"/>
      <c r="D396" s="382"/>
      <c r="E396" s="382"/>
      <c r="K396" s="382"/>
    </row>
    <row r="397" spans="1:11" ht="12">
      <c r="A397" s="90"/>
      <c r="B397" s="384"/>
      <c r="C397" s="383"/>
      <c r="D397" s="382"/>
      <c r="E397" s="382"/>
      <c r="K397" s="382"/>
    </row>
    <row r="398" spans="1:11" ht="12">
      <c r="A398" s="90"/>
      <c r="B398" s="384"/>
      <c r="C398" s="383"/>
      <c r="D398" s="382"/>
      <c r="E398" s="382"/>
      <c r="K398" s="382"/>
    </row>
    <row r="399" spans="1:11" ht="12">
      <c r="A399" s="90"/>
      <c r="B399" s="384"/>
      <c r="C399" s="383"/>
      <c r="D399" s="382"/>
      <c r="E399" s="382"/>
      <c r="K399" s="382"/>
    </row>
    <row r="400" spans="1:11" ht="12">
      <c r="A400" s="90"/>
      <c r="B400" s="384"/>
      <c r="C400" s="383"/>
      <c r="D400" s="382"/>
      <c r="E400" s="382"/>
      <c r="K400" s="382"/>
    </row>
    <row r="401" spans="1:11" ht="12">
      <c r="A401" s="90"/>
      <c r="B401" s="384"/>
      <c r="C401" s="383"/>
      <c r="D401" s="382"/>
      <c r="E401" s="382"/>
      <c r="K401" s="382"/>
    </row>
    <row r="402" spans="1:11" ht="12">
      <c r="A402" s="90"/>
      <c r="B402" s="384"/>
      <c r="C402" s="383"/>
      <c r="D402" s="382"/>
      <c r="E402" s="382"/>
      <c r="K402" s="382"/>
    </row>
    <row r="403" spans="1:11" ht="12">
      <c r="A403" s="90"/>
      <c r="B403" s="384"/>
      <c r="C403" s="383"/>
      <c r="D403" s="382"/>
      <c r="E403" s="382"/>
      <c r="K403" s="382"/>
    </row>
    <row r="404" spans="1:11" ht="12">
      <c r="A404" s="90"/>
      <c r="B404" s="384"/>
      <c r="C404" s="383"/>
      <c r="D404" s="382"/>
      <c r="E404" s="382"/>
      <c r="K404" s="382"/>
    </row>
    <row r="405" spans="1:11" ht="12">
      <c r="A405" s="90"/>
      <c r="B405" s="384"/>
      <c r="C405" s="383"/>
      <c r="D405" s="382"/>
      <c r="E405" s="382"/>
      <c r="K405" s="382"/>
    </row>
    <row r="406" spans="1:11" ht="12">
      <c r="A406" s="90"/>
      <c r="B406" s="384"/>
      <c r="C406" s="383"/>
      <c r="D406" s="382"/>
      <c r="E406" s="382"/>
      <c r="K406" s="382"/>
    </row>
    <row r="407" spans="1:11" ht="12">
      <c r="A407" s="90"/>
      <c r="B407" s="384"/>
      <c r="C407" s="383"/>
      <c r="D407" s="382"/>
      <c r="E407" s="382"/>
      <c r="K407" s="382"/>
    </row>
    <row r="408" spans="1:11" ht="12">
      <c r="A408" s="90"/>
      <c r="B408" s="384"/>
      <c r="C408" s="383"/>
      <c r="D408" s="382"/>
      <c r="E408" s="382"/>
      <c r="K408" s="382"/>
    </row>
    <row r="409" spans="1:11" ht="12">
      <c r="A409" s="90"/>
      <c r="B409" s="384"/>
      <c r="C409" s="383"/>
      <c r="D409" s="382"/>
      <c r="E409" s="382"/>
      <c r="K409" s="382"/>
    </row>
    <row r="410" spans="1:11" ht="12">
      <c r="A410" s="90"/>
      <c r="B410" s="384"/>
      <c r="C410" s="383"/>
      <c r="D410" s="382"/>
      <c r="E410" s="382"/>
      <c r="K410" s="382"/>
    </row>
    <row r="411" spans="1:11" ht="12">
      <c r="A411" s="90"/>
      <c r="B411" s="384"/>
      <c r="C411" s="383"/>
      <c r="D411" s="382"/>
      <c r="E411" s="382"/>
      <c r="K411" s="382"/>
    </row>
    <row r="412" spans="1:11" ht="12">
      <c r="A412" s="90"/>
      <c r="B412" s="384"/>
      <c r="C412" s="383"/>
      <c r="D412" s="382"/>
      <c r="E412" s="382"/>
      <c r="K412" s="382"/>
    </row>
    <row r="413" spans="1:11" ht="12">
      <c r="A413" s="90"/>
      <c r="B413" s="384"/>
      <c r="C413" s="383"/>
      <c r="D413" s="382"/>
      <c r="E413" s="382"/>
      <c r="K413" s="382"/>
    </row>
    <row r="414" spans="1:11" ht="12">
      <c r="A414" s="90"/>
      <c r="B414" s="384"/>
      <c r="C414" s="383"/>
      <c r="D414" s="382"/>
      <c r="E414" s="382"/>
      <c r="K414" s="382"/>
    </row>
    <row r="415" spans="1:11" ht="12">
      <c r="A415" s="90"/>
      <c r="B415" s="384"/>
      <c r="C415" s="383"/>
      <c r="D415" s="382"/>
      <c r="E415" s="382"/>
      <c r="K415" s="382"/>
    </row>
    <row r="416" spans="1:11" ht="12">
      <c r="A416" s="90"/>
      <c r="B416" s="384"/>
      <c r="C416" s="383"/>
      <c r="D416" s="382"/>
      <c r="E416" s="382"/>
      <c r="K416" s="382"/>
    </row>
    <row r="417" spans="1:11" ht="12">
      <c r="A417" s="90"/>
      <c r="B417" s="384"/>
      <c r="C417" s="383"/>
      <c r="D417" s="382"/>
      <c r="E417" s="382"/>
      <c r="K417" s="382"/>
    </row>
    <row r="418" spans="1:11" ht="12">
      <c r="A418" s="90"/>
      <c r="B418" s="384"/>
      <c r="C418" s="383"/>
      <c r="D418" s="382"/>
      <c r="E418" s="382"/>
      <c r="K418" s="382"/>
    </row>
    <row r="419" spans="1:11" ht="12">
      <c r="A419" s="90"/>
      <c r="B419" s="384"/>
      <c r="C419" s="383"/>
      <c r="D419" s="382"/>
      <c r="E419" s="382"/>
      <c r="K419" s="382"/>
    </row>
    <row r="420" spans="1:11" ht="12">
      <c r="A420" s="90"/>
      <c r="B420" s="384"/>
      <c r="C420" s="383"/>
      <c r="D420" s="382"/>
      <c r="E420" s="382"/>
      <c r="K420" s="382"/>
    </row>
    <row r="421" spans="1:11" ht="12">
      <c r="A421" s="90"/>
      <c r="B421" s="384"/>
      <c r="C421" s="383"/>
      <c r="D421" s="382"/>
      <c r="E421" s="382"/>
      <c r="K421" s="382"/>
    </row>
    <row r="422" spans="1:11" ht="12">
      <c r="A422" s="90"/>
      <c r="B422" s="384"/>
      <c r="C422" s="383"/>
      <c r="D422" s="382"/>
      <c r="E422" s="382"/>
      <c r="K422" s="382"/>
    </row>
    <row r="423" spans="1:11" ht="12">
      <c r="A423" s="90"/>
      <c r="B423" s="384"/>
      <c r="C423" s="383"/>
      <c r="D423" s="382"/>
      <c r="E423" s="382"/>
      <c r="K423" s="382"/>
    </row>
    <row r="424" spans="1:11" ht="12">
      <c r="A424" s="90"/>
      <c r="B424" s="384"/>
      <c r="C424" s="383"/>
      <c r="D424" s="382"/>
      <c r="E424" s="382"/>
      <c r="K424" s="382"/>
    </row>
    <row r="425" spans="1:11" ht="12">
      <c r="A425" s="90"/>
      <c r="B425" s="384"/>
      <c r="C425" s="383"/>
      <c r="D425" s="382"/>
      <c r="E425" s="382"/>
      <c r="K425" s="382"/>
    </row>
    <row r="426" spans="1:11" ht="12">
      <c r="A426" s="90"/>
      <c r="B426" s="384"/>
      <c r="C426" s="383"/>
      <c r="D426" s="382"/>
      <c r="E426" s="382"/>
      <c r="K426" s="382"/>
    </row>
    <row r="427" spans="1:11" ht="12">
      <c r="A427" s="90"/>
      <c r="B427" s="384"/>
      <c r="C427" s="383"/>
      <c r="D427" s="382"/>
      <c r="E427" s="382"/>
      <c r="K427" s="382"/>
    </row>
    <row r="428" spans="1:11" ht="12">
      <c r="A428" s="90"/>
      <c r="B428" s="384"/>
      <c r="C428" s="383"/>
      <c r="D428" s="382"/>
      <c r="E428" s="382"/>
      <c r="K428" s="382"/>
    </row>
    <row r="429" spans="1:11" ht="12">
      <c r="A429" s="90"/>
      <c r="B429" s="384"/>
      <c r="C429" s="383"/>
      <c r="D429" s="382"/>
      <c r="E429" s="382"/>
      <c r="K429" s="382"/>
    </row>
    <row r="430" spans="1:11" ht="12">
      <c r="A430" s="90"/>
      <c r="B430" s="384"/>
      <c r="C430" s="383"/>
      <c r="D430" s="382"/>
      <c r="E430" s="382"/>
      <c r="K430" s="382"/>
    </row>
    <row r="431" spans="1:11" ht="12">
      <c r="A431" s="90"/>
      <c r="B431" s="384"/>
      <c r="C431" s="383"/>
      <c r="D431" s="382"/>
      <c r="E431" s="382"/>
      <c r="K431" s="382"/>
    </row>
    <row r="432" spans="1:11" ht="12">
      <c r="A432" s="90"/>
      <c r="B432" s="384"/>
      <c r="C432" s="383"/>
      <c r="D432" s="382"/>
      <c r="E432" s="382"/>
      <c r="K432" s="382"/>
    </row>
    <row r="433" spans="1:11" ht="12">
      <c r="A433" s="90"/>
      <c r="B433" s="384"/>
      <c r="C433" s="383"/>
      <c r="D433" s="382"/>
      <c r="E433" s="382"/>
      <c r="K433" s="382"/>
    </row>
    <row r="434" spans="1:11" ht="12">
      <c r="A434" s="90"/>
      <c r="B434" s="384"/>
      <c r="C434" s="383"/>
      <c r="D434" s="382"/>
      <c r="E434" s="382"/>
      <c r="K434" s="382"/>
    </row>
    <row r="435" spans="1:11" ht="12">
      <c r="A435" s="90"/>
      <c r="B435" s="384"/>
      <c r="C435" s="383"/>
      <c r="D435" s="382"/>
      <c r="E435" s="382"/>
      <c r="K435" s="382"/>
    </row>
    <row r="436" spans="1:11" ht="12">
      <c r="A436" s="90"/>
      <c r="B436" s="384"/>
      <c r="C436" s="383"/>
      <c r="D436" s="382"/>
      <c r="E436" s="382"/>
      <c r="K436" s="382"/>
    </row>
    <row r="437" spans="1:11" ht="12">
      <c r="A437" s="90"/>
      <c r="B437" s="384"/>
      <c r="C437" s="383"/>
      <c r="D437" s="382"/>
      <c r="E437" s="382"/>
      <c r="K437" s="382"/>
    </row>
    <row r="438" spans="1:11" ht="12">
      <c r="A438" s="90"/>
      <c r="B438" s="384"/>
      <c r="C438" s="383"/>
      <c r="D438" s="382"/>
      <c r="E438" s="382"/>
      <c r="K438" s="382"/>
    </row>
    <row r="439" spans="1:11" ht="12">
      <c r="A439" s="90"/>
      <c r="B439" s="384"/>
      <c r="C439" s="383"/>
      <c r="D439" s="382"/>
      <c r="E439" s="382"/>
      <c r="K439" s="382"/>
    </row>
    <row r="440" spans="1:11" ht="12">
      <c r="A440" s="90"/>
      <c r="B440" s="384"/>
      <c r="C440" s="383"/>
      <c r="D440" s="382"/>
      <c r="E440" s="382"/>
      <c r="K440" s="382"/>
    </row>
    <row r="441" spans="1:11" ht="12">
      <c r="A441" s="90"/>
      <c r="B441" s="384"/>
      <c r="C441" s="383"/>
      <c r="D441" s="382"/>
      <c r="E441" s="382"/>
      <c r="K441" s="382"/>
    </row>
  </sheetData>
  <sheetProtection/>
  <printOptions/>
  <pageMargins left="0.984251968503937" right="0.7480314960629921" top="0.5511811023622047" bottom="0" header="0" footer="0"/>
  <pageSetup firstPageNumber="633" useFirstPageNumber="1" horizontalDpi="600" verticalDpi="600" orientation="portrait" paperSize="9" scale="58" r:id="rId1"/>
  <rowBreaks count="1" manualBreakCount="1">
    <brk id="187" max="12" man="1"/>
  </rowBreaks>
  <ignoredErrors>
    <ignoredError sqref="B90:M90 B91:B312 C301:M312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62"/>
  <sheetViews>
    <sheetView showGridLines="0" workbookViewId="0" topLeftCell="A1">
      <selection activeCell="G19" sqref="G19"/>
    </sheetView>
  </sheetViews>
  <sheetFormatPr defaultColWidth="12.57421875" defaultRowHeight="12.75"/>
  <cols>
    <col min="1" max="1" width="10.421875" style="83" customWidth="1"/>
    <col min="2" max="2" width="11.8515625" style="188" bestFit="1" customWidth="1"/>
    <col min="3" max="3" width="10.7109375" style="188" hidden="1" customWidth="1"/>
    <col min="4" max="5" width="8.7109375" style="188" customWidth="1"/>
    <col min="6" max="6" width="2.28125" style="80" customWidth="1"/>
    <col min="7" max="7" width="11.8515625" style="80" bestFit="1" customWidth="1"/>
    <col min="8" max="8" width="7.8515625" style="80" hidden="1" customWidth="1"/>
    <col min="9" max="9" width="8.7109375" style="80" customWidth="1"/>
    <col min="10" max="10" width="8.7109375" style="9" customWidth="1"/>
    <col min="11" max="11" width="2.28125" style="9" customWidth="1"/>
    <col min="12" max="12" width="11.7109375" style="196" customWidth="1"/>
    <col min="13" max="13" width="12.57421875" style="196" hidden="1" customWidth="1"/>
    <col min="14" max="15" width="8.7109375" style="196" customWidth="1"/>
    <col min="16" max="101" width="12.57421875" style="196" customWidth="1"/>
    <col min="102" max="16384" width="12.57421875" style="80" customWidth="1"/>
  </cols>
  <sheetData>
    <row r="1" spans="1:11" ht="15">
      <c r="A1" s="1" t="s">
        <v>1159</v>
      </c>
      <c r="K1" s="203"/>
    </row>
    <row r="2" spans="1:11" ht="15">
      <c r="A2" s="46"/>
      <c r="K2" s="201"/>
    </row>
    <row r="3" spans="1:117" s="9" customFormat="1" ht="15" customHeight="1">
      <c r="A3" s="547"/>
      <c r="B3" s="795" t="s">
        <v>986</v>
      </c>
      <c r="C3" s="795"/>
      <c r="D3" s="795"/>
      <c r="E3" s="795"/>
      <c r="F3" s="548"/>
      <c r="G3" s="795" t="s">
        <v>387</v>
      </c>
      <c r="H3" s="795"/>
      <c r="I3" s="795"/>
      <c r="J3" s="795"/>
      <c r="K3" s="549"/>
      <c r="L3" s="795" t="s">
        <v>1104</v>
      </c>
      <c r="M3" s="795"/>
      <c r="N3" s="795"/>
      <c r="O3" s="795"/>
      <c r="P3" s="67"/>
      <c r="Q3" s="191"/>
      <c r="R3" s="191"/>
      <c r="S3" s="67"/>
      <c r="T3" s="191"/>
      <c r="U3" s="191"/>
      <c r="V3" s="7"/>
      <c r="W3" s="67"/>
      <c r="X3" s="191"/>
      <c r="Y3" s="191"/>
      <c r="Z3" s="67"/>
      <c r="AA3" s="191"/>
      <c r="AB3" s="191"/>
      <c r="AC3" s="7"/>
      <c r="AD3" s="67"/>
      <c r="AE3" s="191"/>
      <c r="AF3" s="191"/>
      <c r="AG3" s="67"/>
      <c r="AH3" s="191"/>
      <c r="AI3" s="191"/>
      <c r="AJ3" s="7"/>
      <c r="AK3" s="67"/>
      <c r="AL3" s="191"/>
      <c r="AM3" s="191"/>
      <c r="AN3" s="67"/>
      <c r="AO3" s="191"/>
      <c r="AP3" s="191"/>
      <c r="AQ3" s="7"/>
      <c r="AR3" s="67"/>
      <c r="AS3" s="111"/>
      <c r="AT3" s="111"/>
      <c r="AU3" s="67"/>
      <c r="AV3" s="111"/>
      <c r="AW3" s="111"/>
      <c r="AX3" s="7"/>
      <c r="AY3" s="67"/>
      <c r="AZ3" s="191"/>
      <c r="BA3" s="191"/>
      <c r="BB3" s="67"/>
      <c r="BC3" s="191"/>
      <c r="BD3" s="191"/>
      <c r="BE3" s="7"/>
      <c r="BF3" s="67"/>
      <c r="BG3" s="111"/>
      <c r="BH3" s="111"/>
      <c r="BI3" s="111"/>
      <c r="BJ3" s="67"/>
      <c r="BK3" s="111"/>
      <c r="BL3" s="111"/>
      <c r="BM3" s="7"/>
      <c r="BN3" s="67"/>
      <c r="BO3" s="111"/>
      <c r="BP3" s="111"/>
      <c r="BQ3" s="67"/>
      <c r="BR3" s="111"/>
      <c r="BS3" s="111"/>
      <c r="BT3" s="7"/>
      <c r="BU3" s="67"/>
      <c r="BV3" s="111"/>
      <c r="BW3" s="111"/>
      <c r="BX3" s="67"/>
      <c r="BY3" s="111"/>
      <c r="BZ3" s="111"/>
      <c r="CA3" s="85"/>
      <c r="CB3" s="67"/>
      <c r="CC3" s="111"/>
      <c r="CD3" s="111"/>
      <c r="CE3" s="67"/>
      <c r="CF3" s="111"/>
      <c r="CG3" s="111"/>
      <c r="CH3" s="85"/>
      <c r="CI3" s="67"/>
      <c r="CJ3" s="111"/>
      <c r="CK3" s="111"/>
      <c r="CL3" s="67"/>
      <c r="CM3" s="111"/>
      <c r="CN3" s="111"/>
      <c r="CO3" s="111"/>
      <c r="CP3" s="85"/>
      <c r="CQ3" s="67"/>
      <c r="CR3" s="111"/>
      <c r="CS3" s="111"/>
      <c r="CT3" s="67"/>
      <c r="CU3" s="111"/>
      <c r="CV3" s="111"/>
      <c r="CW3" s="111"/>
      <c r="CX3" s="84"/>
      <c r="CY3" s="64"/>
      <c r="CZ3" s="37"/>
      <c r="DA3" s="37"/>
      <c r="DB3" s="64"/>
      <c r="DC3" s="37"/>
      <c r="DD3" s="37"/>
      <c r="DE3" s="37"/>
      <c r="DF3" s="174"/>
      <c r="DG3" s="175"/>
      <c r="DH3" s="178"/>
      <c r="DI3" s="178"/>
      <c r="DJ3" s="175"/>
      <c r="DK3" s="178"/>
      <c r="DL3" s="178"/>
      <c r="DM3" s="43"/>
    </row>
    <row r="4" spans="1:117" s="9" customFormat="1" ht="27" customHeight="1">
      <c r="A4" s="550"/>
      <c r="B4" s="551" t="s">
        <v>1069</v>
      </c>
      <c r="C4" s="551" t="s">
        <v>386</v>
      </c>
      <c r="D4" s="552" t="s">
        <v>283</v>
      </c>
      <c r="E4" s="552" t="s">
        <v>385</v>
      </c>
      <c r="F4" s="553"/>
      <c r="G4" s="551" t="s">
        <v>1069</v>
      </c>
      <c r="H4" s="551" t="s">
        <v>386</v>
      </c>
      <c r="I4" s="552" t="s">
        <v>985</v>
      </c>
      <c r="J4" s="552" t="s">
        <v>385</v>
      </c>
      <c r="K4" s="552"/>
      <c r="L4" s="551" t="s">
        <v>1069</v>
      </c>
      <c r="M4" s="551" t="s">
        <v>386</v>
      </c>
      <c r="N4" s="552" t="s">
        <v>985</v>
      </c>
      <c r="O4" s="552" t="s">
        <v>385</v>
      </c>
      <c r="P4" s="67"/>
      <c r="Q4" s="67"/>
      <c r="R4" s="67"/>
      <c r="S4" s="67"/>
      <c r="T4" s="67"/>
      <c r="U4" s="67"/>
      <c r="V4" s="191"/>
      <c r="W4" s="67"/>
      <c r="X4" s="67"/>
      <c r="Y4" s="67"/>
      <c r="Z4" s="67"/>
      <c r="AA4" s="67"/>
      <c r="AB4" s="67"/>
      <c r="AC4" s="191"/>
      <c r="AD4" s="67"/>
      <c r="AE4" s="67"/>
      <c r="AF4" s="67"/>
      <c r="AG4" s="67"/>
      <c r="AH4" s="67"/>
      <c r="AI4" s="67"/>
      <c r="AJ4" s="191"/>
      <c r="AK4" s="67"/>
      <c r="AL4" s="67"/>
      <c r="AM4" s="67"/>
      <c r="AN4" s="67"/>
      <c r="AO4" s="67"/>
      <c r="AP4" s="67"/>
      <c r="AQ4" s="111"/>
      <c r="AR4" s="67"/>
      <c r="AS4" s="67"/>
      <c r="AT4" s="67"/>
      <c r="AU4" s="67"/>
      <c r="AV4" s="67"/>
      <c r="AW4" s="67"/>
      <c r="AX4" s="191"/>
      <c r="AY4" s="67"/>
      <c r="AZ4" s="67"/>
      <c r="BA4" s="67"/>
      <c r="BB4" s="67"/>
      <c r="BC4" s="67"/>
      <c r="BD4" s="67"/>
      <c r="BE4" s="111"/>
      <c r="BF4" s="67"/>
      <c r="BG4" s="67"/>
      <c r="BH4" s="67"/>
      <c r="BI4" s="111"/>
      <c r="BJ4" s="67"/>
      <c r="BK4" s="67"/>
      <c r="BL4" s="67"/>
      <c r="BM4" s="111"/>
      <c r="BN4" s="67"/>
      <c r="BO4" s="67"/>
      <c r="BP4" s="67"/>
      <c r="BQ4" s="67"/>
      <c r="BR4" s="67"/>
      <c r="BS4" s="67"/>
      <c r="BT4" s="111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4"/>
      <c r="CY4" s="64"/>
      <c r="CZ4" s="64"/>
      <c r="DA4" s="64"/>
      <c r="DB4" s="64"/>
      <c r="DC4" s="64"/>
      <c r="DD4" s="64"/>
      <c r="DE4" s="64"/>
      <c r="DF4" s="175"/>
      <c r="DG4" s="175"/>
      <c r="DH4" s="175"/>
      <c r="DI4" s="175"/>
      <c r="DJ4" s="175"/>
      <c r="DK4" s="175"/>
      <c r="DL4" s="175"/>
      <c r="DM4" s="68"/>
    </row>
    <row r="5" spans="1:117" ht="12.75">
      <c r="A5" s="63"/>
      <c r="B5" s="180"/>
      <c r="C5" s="180"/>
      <c r="D5" s="180"/>
      <c r="E5" s="180"/>
      <c r="F5" s="105"/>
      <c r="G5" s="105"/>
      <c r="H5" s="105"/>
      <c r="I5" s="105"/>
      <c r="J5" s="106"/>
      <c r="K5" s="106"/>
      <c r="L5" s="193"/>
      <c r="M5" s="8"/>
      <c r="N5" s="192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194"/>
      <c r="AY5" s="74"/>
      <c r="AZ5" s="74"/>
      <c r="BA5" s="74"/>
      <c r="BB5" s="74"/>
      <c r="BC5" s="74"/>
      <c r="BD5" s="74"/>
      <c r="BE5" s="191"/>
      <c r="BF5" s="112"/>
      <c r="BG5" s="112"/>
      <c r="BH5" s="112"/>
      <c r="BI5" s="112"/>
      <c r="BJ5" s="112"/>
      <c r="BK5" s="112"/>
      <c r="BL5" s="112"/>
      <c r="BM5" s="191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76"/>
      <c r="DG5" s="176"/>
      <c r="DH5" s="176"/>
      <c r="DI5" s="176"/>
      <c r="DJ5" s="176"/>
      <c r="DK5" s="176"/>
      <c r="DL5" s="176"/>
      <c r="DM5" s="114"/>
    </row>
    <row r="6" spans="1:117" ht="12.75">
      <c r="A6" s="198">
        <v>1993</v>
      </c>
      <c r="B6" s="66">
        <v>15463</v>
      </c>
      <c r="C6" s="66">
        <v>19696</v>
      </c>
      <c r="D6" s="66">
        <f>C6-E6</f>
        <v>19503</v>
      </c>
      <c r="E6" s="66">
        <v>193</v>
      </c>
      <c r="F6" s="66"/>
      <c r="G6" s="66">
        <v>4438</v>
      </c>
      <c r="H6" s="66">
        <v>8654</v>
      </c>
      <c r="I6" s="66">
        <f>H6-J6</f>
        <v>8054</v>
      </c>
      <c r="J6" s="66">
        <v>600</v>
      </c>
      <c r="K6" s="66"/>
      <c r="L6" s="320">
        <f>SUM(B6,G6)</f>
        <v>19901</v>
      </c>
      <c r="M6" s="202">
        <f>SUM(C6,H6)</f>
        <v>28350</v>
      </c>
      <c r="N6" s="202">
        <f>SUM(D6,I6)</f>
        <v>27557</v>
      </c>
      <c r="O6" s="202">
        <f>SUM(E6,J6)</f>
        <v>793</v>
      </c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194"/>
      <c r="AY6" s="74"/>
      <c r="AZ6" s="74"/>
      <c r="BA6" s="74"/>
      <c r="BB6" s="74"/>
      <c r="BC6" s="74"/>
      <c r="BD6" s="74"/>
      <c r="BE6" s="191"/>
      <c r="BF6" s="112"/>
      <c r="BG6" s="112"/>
      <c r="BH6" s="112"/>
      <c r="BI6" s="112"/>
      <c r="BJ6" s="112"/>
      <c r="BK6" s="112"/>
      <c r="BL6" s="112"/>
      <c r="BM6" s="191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76"/>
      <c r="DG6" s="176"/>
      <c r="DH6" s="176"/>
      <c r="DI6" s="176"/>
      <c r="DJ6" s="176"/>
      <c r="DK6" s="176"/>
      <c r="DL6" s="176"/>
      <c r="DM6" s="114"/>
    </row>
    <row r="7" spans="1:117" ht="12.75">
      <c r="A7" s="607">
        <v>1994</v>
      </c>
      <c r="B7" s="608">
        <v>15045</v>
      </c>
      <c r="C7" s="608">
        <v>18885</v>
      </c>
      <c r="D7" s="608">
        <f aca="true" t="shared" si="0" ref="D7:D20">C7-E7</f>
        <v>18716</v>
      </c>
      <c r="E7" s="608">
        <v>169</v>
      </c>
      <c r="F7" s="609"/>
      <c r="G7" s="608">
        <v>4170</v>
      </c>
      <c r="H7" s="608">
        <v>7906</v>
      </c>
      <c r="I7" s="608">
        <f aca="true" t="shared" si="1" ref="I7:I20">H7-J7</f>
        <v>7421</v>
      </c>
      <c r="J7" s="608">
        <v>485</v>
      </c>
      <c r="K7" s="608"/>
      <c r="L7" s="610">
        <f aca="true" t="shared" si="2" ref="L7:L25">SUM(B7,G7)</f>
        <v>19215</v>
      </c>
      <c r="M7" s="610">
        <f aca="true" t="shared" si="3" ref="M7:M16">SUM(C7,H7)</f>
        <v>26791</v>
      </c>
      <c r="N7" s="610">
        <f aca="true" t="shared" si="4" ref="N7:N16">SUM(D7,I7)</f>
        <v>26137</v>
      </c>
      <c r="O7" s="610">
        <f aca="true" t="shared" si="5" ref="O7:O16">SUM(E7,J7)</f>
        <v>654</v>
      </c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194"/>
      <c r="AY7" s="74"/>
      <c r="AZ7" s="74"/>
      <c r="BA7" s="74"/>
      <c r="BB7" s="74"/>
      <c r="BC7" s="74"/>
      <c r="BD7" s="74"/>
      <c r="BE7" s="191"/>
      <c r="BF7" s="112"/>
      <c r="BG7" s="112"/>
      <c r="BH7" s="112"/>
      <c r="BI7" s="112"/>
      <c r="BJ7" s="112"/>
      <c r="BK7" s="112"/>
      <c r="BL7" s="112"/>
      <c r="BM7" s="191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76"/>
      <c r="DG7" s="176"/>
      <c r="DH7" s="176"/>
      <c r="DI7" s="176"/>
      <c r="DJ7" s="176"/>
      <c r="DK7" s="176"/>
      <c r="DL7" s="176"/>
      <c r="DM7" s="114"/>
    </row>
    <row r="8" spans="1:117" ht="12.75">
      <c r="A8" s="198">
        <v>1995</v>
      </c>
      <c r="B8" s="66">
        <v>15042</v>
      </c>
      <c r="C8" s="66">
        <v>18797</v>
      </c>
      <c r="D8" s="66">
        <f t="shared" si="0"/>
        <v>18629</v>
      </c>
      <c r="E8" s="66">
        <v>168</v>
      </c>
      <c r="F8" s="66"/>
      <c r="G8" s="66">
        <v>4512</v>
      </c>
      <c r="H8" s="66">
        <v>8644</v>
      </c>
      <c r="I8" s="66">
        <f t="shared" si="1"/>
        <v>8065</v>
      </c>
      <c r="J8" s="66">
        <v>579</v>
      </c>
      <c r="K8" s="66"/>
      <c r="L8" s="202">
        <f t="shared" si="2"/>
        <v>19554</v>
      </c>
      <c r="M8" s="202">
        <f t="shared" si="3"/>
        <v>27441</v>
      </c>
      <c r="N8" s="202">
        <f t="shared" si="4"/>
        <v>26694</v>
      </c>
      <c r="O8" s="202">
        <f t="shared" si="5"/>
        <v>747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194"/>
      <c r="AY8" s="74"/>
      <c r="AZ8" s="74"/>
      <c r="BA8" s="74"/>
      <c r="BB8" s="74"/>
      <c r="BC8" s="74"/>
      <c r="BD8" s="74"/>
      <c r="BE8" s="191"/>
      <c r="BF8" s="112"/>
      <c r="BG8" s="112"/>
      <c r="BH8" s="112"/>
      <c r="BI8" s="112"/>
      <c r="BJ8" s="112"/>
      <c r="BK8" s="112"/>
      <c r="BL8" s="112"/>
      <c r="BM8" s="191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76"/>
      <c r="DG8" s="176"/>
      <c r="DH8" s="176"/>
      <c r="DI8" s="176"/>
      <c r="DJ8" s="176"/>
      <c r="DK8" s="176"/>
      <c r="DL8" s="176"/>
      <c r="DM8" s="114"/>
    </row>
    <row r="9" spans="1:117" ht="12.75">
      <c r="A9" s="607">
        <v>1996</v>
      </c>
      <c r="B9" s="608">
        <v>15709</v>
      </c>
      <c r="C9" s="608">
        <v>19516</v>
      </c>
      <c r="D9" s="608">
        <f t="shared" si="0"/>
        <v>19347</v>
      </c>
      <c r="E9" s="608">
        <v>169</v>
      </c>
      <c r="F9" s="608"/>
      <c r="G9" s="608">
        <v>4482</v>
      </c>
      <c r="H9" s="608">
        <v>8075</v>
      </c>
      <c r="I9" s="608">
        <f t="shared" si="1"/>
        <v>7574</v>
      </c>
      <c r="J9" s="608">
        <v>501</v>
      </c>
      <c r="K9" s="608"/>
      <c r="L9" s="610">
        <f t="shared" si="2"/>
        <v>20191</v>
      </c>
      <c r="M9" s="610">
        <f t="shared" si="3"/>
        <v>27591</v>
      </c>
      <c r="N9" s="610">
        <f t="shared" si="4"/>
        <v>26921</v>
      </c>
      <c r="O9" s="610">
        <f t="shared" si="5"/>
        <v>670</v>
      </c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09"/>
      <c r="AH9" s="195"/>
      <c r="AI9" s="195"/>
      <c r="AJ9" s="195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95"/>
      <c r="AY9" s="109"/>
      <c r="AZ9" s="109"/>
      <c r="BA9" s="109"/>
      <c r="BB9" s="109"/>
      <c r="BC9" s="109"/>
      <c r="BD9" s="109"/>
      <c r="BE9" s="190"/>
      <c r="BF9" s="113"/>
      <c r="BG9" s="113"/>
      <c r="BH9" s="113"/>
      <c r="BI9" s="113"/>
      <c r="BJ9" s="113"/>
      <c r="BK9" s="113"/>
      <c r="BL9" s="113"/>
      <c r="BM9" s="190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0"/>
      <c r="CY9" s="110"/>
      <c r="CZ9" s="110"/>
      <c r="DA9" s="110"/>
      <c r="DB9" s="110"/>
      <c r="DC9" s="110"/>
      <c r="DD9" s="110"/>
      <c r="DE9" s="110"/>
      <c r="DF9" s="177"/>
      <c r="DG9" s="177"/>
      <c r="DH9" s="177"/>
      <c r="DI9" s="177"/>
      <c r="DJ9" s="177"/>
      <c r="DK9" s="177"/>
      <c r="DL9" s="177"/>
      <c r="DM9" s="115"/>
    </row>
    <row r="10" spans="1:15" ht="12.75">
      <c r="A10" s="198">
        <v>1997</v>
      </c>
      <c r="B10" s="66">
        <v>16550</v>
      </c>
      <c r="C10" s="66">
        <v>20674</v>
      </c>
      <c r="D10" s="66">
        <f t="shared" si="0"/>
        <v>20515</v>
      </c>
      <c r="E10" s="66">
        <v>159</v>
      </c>
      <c r="F10" s="66"/>
      <c r="G10" s="66">
        <v>3998</v>
      </c>
      <c r="H10" s="66">
        <v>7549</v>
      </c>
      <c r="I10" s="66">
        <f t="shared" si="1"/>
        <v>7054</v>
      </c>
      <c r="J10" s="66">
        <v>495</v>
      </c>
      <c r="K10" s="66"/>
      <c r="L10" s="202">
        <f t="shared" si="2"/>
        <v>20548</v>
      </c>
      <c r="M10" s="202">
        <f t="shared" si="3"/>
        <v>28223</v>
      </c>
      <c r="N10" s="202">
        <f t="shared" si="4"/>
        <v>27569</v>
      </c>
      <c r="O10" s="202">
        <f t="shared" si="5"/>
        <v>654</v>
      </c>
    </row>
    <row r="11" spans="1:15" ht="12.75">
      <c r="A11" s="607">
        <v>1998</v>
      </c>
      <c r="B11" s="608">
        <v>17905</v>
      </c>
      <c r="C11" s="608">
        <v>22605</v>
      </c>
      <c r="D11" s="608">
        <f t="shared" si="0"/>
        <v>22449</v>
      </c>
      <c r="E11" s="608">
        <v>156</v>
      </c>
      <c r="F11" s="608"/>
      <c r="G11" s="608">
        <v>6083</v>
      </c>
      <c r="H11" s="608">
        <v>10607</v>
      </c>
      <c r="I11" s="608">
        <f t="shared" si="1"/>
        <v>10015</v>
      </c>
      <c r="J11" s="608">
        <v>592</v>
      </c>
      <c r="K11" s="608"/>
      <c r="L11" s="610">
        <f t="shared" si="2"/>
        <v>23988</v>
      </c>
      <c r="M11" s="610">
        <f t="shared" si="3"/>
        <v>33212</v>
      </c>
      <c r="N11" s="610">
        <f t="shared" si="4"/>
        <v>32464</v>
      </c>
      <c r="O11" s="610">
        <f t="shared" si="5"/>
        <v>748</v>
      </c>
    </row>
    <row r="12" spans="1:15" ht="12.75">
      <c r="A12" s="198">
        <v>1999</v>
      </c>
      <c r="B12" s="66">
        <v>17237</v>
      </c>
      <c r="C12" s="66">
        <v>22019</v>
      </c>
      <c r="D12" s="66">
        <f t="shared" si="0"/>
        <v>21857</v>
      </c>
      <c r="E12" s="66">
        <v>162</v>
      </c>
      <c r="F12" s="66"/>
      <c r="G12" s="66">
        <v>6414</v>
      </c>
      <c r="H12" s="66">
        <v>10968</v>
      </c>
      <c r="I12" s="66">
        <f t="shared" si="1"/>
        <v>10370</v>
      </c>
      <c r="J12" s="66">
        <v>598</v>
      </c>
      <c r="K12" s="66"/>
      <c r="L12" s="202">
        <f t="shared" si="2"/>
        <v>23651</v>
      </c>
      <c r="M12" s="202">
        <f t="shared" si="3"/>
        <v>32987</v>
      </c>
      <c r="N12" s="202">
        <f t="shared" si="4"/>
        <v>32227</v>
      </c>
      <c r="O12" s="202">
        <f t="shared" si="5"/>
        <v>760</v>
      </c>
    </row>
    <row r="13" spans="1:15" ht="12.75">
      <c r="A13" s="607">
        <v>2000</v>
      </c>
      <c r="B13" s="608">
        <v>17118</v>
      </c>
      <c r="C13" s="608">
        <v>22259</v>
      </c>
      <c r="D13" s="608">
        <f t="shared" si="0"/>
        <v>22103</v>
      </c>
      <c r="E13" s="608">
        <v>156</v>
      </c>
      <c r="F13" s="608"/>
      <c r="G13" s="608">
        <v>6320</v>
      </c>
      <c r="H13" s="608">
        <v>10789</v>
      </c>
      <c r="I13" s="608">
        <f t="shared" si="1"/>
        <v>10167</v>
      </c>
      <c r="J13" s="608">
        <v>622</v>
      </c>
      <c r="K13" s="608"/>
      <c r="L13" s="610">
        <f t="shared" si="2"/>
        <v>23438</v>
      </c>
      <c r="M13" s="610">
        <f t="shared" si="3"/>
        <v>33048</v>
      </c>
      <c r="N13" s="610">
        <f t="shared" si="4"/>
        <v>32270</v>
      </c>
      <c r="O13" s="610">
        <f t="shared" si="5"/>
        <v>778</v>
      </c>
    </row>
    <row r="14" spans="1:15" ht="12.75">
      <c r="A14" s="199">
        <v>2001</v>
      </c>
      <c r="B14" s="66">
        <v>17295</v>
      </c>
      <c r="C14" s="66">
        <v>22962</v>
      </c>
      <c r="D14" s="66">
        <f t="shared" si="0"/>
        <v>22798</v>
      </c>
      <c r="E14" s="41">
        <v>164</v>
      </c>
      <c r="F14" s="41"/>
      <c r="G14" s="41">
        <v>5697</v>
      </c>
      <c r="H14" s="41">
        <v>9684</v>
      </c>
      <c r="I14" s="66">
        <f t="shared" si="1"/>
        <v>9138</v>
      </c>
      <c r="J14" s="39">
        <v>546</v>
      </c>
      <c r="K14" s="39"/>
      <c r="L14" s="202">
        <f t="shared" si="2"/>
        <v>22992</v>
      </c>
      <c r="M14" s="202">
        <f t="shared" si="3"/>
        <v>32646</v>
      </c>
      <c r="N14" s="202">
        <f t="shared" si="4"/>
        <v>31936</v>
      </c>
      <c r="O14" s="202">
        <f t="shared" si="5"/>
        <v>710</v>
      </c>
    </row>
    <row r="15" spans="1:15" ht="14.25" customHeight="1">
      <c r="A15" s="611">
        <v>2002</v>
      </c>
      <c r="B15" s="608">
        <v>16914</v>
      </c>
      <c r="C15" s="608">
        <v>22501</v>
      </c>
      <c r="D15" s="608">
        <f t="shared" si="0"/>
        <v>22347</v>
      </c>
      <c r="E15" s="508">
        <v>154</v>
      </c>
      <c r="F15" s="508"/>
      <c r="G15" s="508">
        <v>4551</v>
      </c>
      <c r="H15" s="508">
        <v>8098</v>
      </c>
      <c r="I15" s="608">
        <f t="shared" si="1"/>
        <v>7544</v>
      </c>
      <c r="J15" s="473">
        <v>554</v>
      </c>
      <c r="K15" s="473"/>
      <c r="L15" s="610">
        <f t="shared" si="2"/>
        <v>21465</v>
      </c>
      <c r="M15" s="610">
        <f t="shared" si="3"/>
        <v>30599</v>
      </c>
      <c r="N15" s="610">
        <f t="shared" si="4"/>
        <v>29891</v>
      </c>
      <c r="O15" s="610">
        <f t="shared" si="5"/>
        <v>708</v>
      </c>
    </row>
    <row r="16" spans="1:15" ht="14.25" customHeight="1">
      <c r="A16" s="199">
        <v>2003</v>
      </c>
      <c r="B16" s="66">
        <f>SUM(B17:B20)</f>
        <v>16436</v>
      </c>
      <c r="C16" s="66">
        <f>SUM(C17:C20)</f>
        <v>21913</v>
      </c>
      <c r="D16" s="66">
        <f>SUM(D17:D20)</f>
        <v>21759</v>
      </c>
      <c r="E16" s="66">
        <f>SUM(E17:E20)</f>
        <v>154</v>
      </c>
      <c r="F16" s="189"/>
      <c r="G16" s="41">
        <f>SUM(G17:G20)</f>
        <v>4182</v>
      </c>
      <c r="H16" s="41">
        <v>7467</v>
      </c>
      <c r="I16" s="66">
        <f t="shared" si="1"/>
        <v>6954</v>
      </c>
      <c r="J16" s="39">
        <v>513</v>
      </c>
      <c r="K16" s="39"/>
      <c r="L16" s="202">
        <f t="shared" si="2"/>
        <v>20618</v>
      </c>
      <c r="M16" s="202">
        <f t="shared" si="3"/>
        <v>29380</v>
      </c>
      <c r="N16" s="202">
        <f t="shared" si="4"/>
        <v>28713</v>
      </c>
      <c r="O16" s="202">
        <f t="shared" si="5"/>
        <v>667</v>
      </c>
    </row>
    <row r="17" spans="1:15" ht="14.25" customHeight="1" hidden="1">
      <c r="A17" s="206" t="s">
        <v>1105</v>
      </c>
      <c r="B17" s="207">
        <v>14596</v>
      </c>
      <c r="C17" s="207">
        <v>19475</v>
      </c>
      <c r="D17" s="207">
        <f t="shared" si="0"/>
        <v>19370</v>
      </c>
      <c r="E17" s="208">
        <v>105</v>
      </c>
      <c r="F17" s="209"/>
      <c r="G17" s="210">
        <v>1874</v>
      </c>
      <c r="H17" s="210">
        <v>3364</v>
      </c>
      <c r="I17" s="207">
        <f t="shared" si="1"/>
        <v>3150</v>
      </c>
      <c r="J17" s="211">
        <v>214</v>
      </c>
      <c r="K17" s="212"/>
      <c r="L17" s="213">
        <f t="shared" si="2"/>
        <v>16470</v>
      </c>
      <c r="M17" s="213">
        <f aca="true" t="shared" si="6" ref="M17:O20">SUM(C17,H17)</f>
        <v>22839</v>
      </c>
      <c r="N17" s="213">
        <f t="shared" si="6"/>
        <v>22520</v>
      </c>
      <c r="O17" s="213">
        <f t="shared" si="6"/>
        <v>319</v>
      </c>
    </row>
    <row r="18" spans="1:15" ht="14.25" customHeight="1" hidden="1">
      <c r="A18" s="207" t="s">
        <v>974</v>
      </c>
      <c r="B18" s="210">
        <v>596</v>
      </c>
      <c r="C18" s="207">
        <v>778</v>
      </c>
      <c r="D18" s="207">
        <f>C18-E18</f>
        <v>761</v>
      </c>
      <c r="E18" s="208">
        <v>17</v>
      </c>
      <c r="F18" s="209"/>
      <c r="G18" s="210">
        <v>845</v>
      </c>
      <c r="H18" s="210">
        <v>1380</v>
      </c>
      <c r="I18" s="207">
        <f t="shared" si="1"/>
        <v>1279</v>
      </c>
      <c r="J18" s="211">
        <v>101</v>
      </c>
      <c r="K18" s="212"/>
      <c r="L18" s="213">
        <f t="shared" si="2"/>
        <v>1441</v>
      </c>
      <c r="M18" s="213">
        <f t="shared" si="6"/>
        <v>2158</v>
      </c>
      <c r="N18" s="213">
        <f t="shared" si="6"/>
        <v>2040</v>
      </c>
      <c r="O18" s="213">
        <f t="shared" si="6"/>
        <v>118</v>
      </c>
    </row>
    <row r="19" spans="1:15" ht="14.25" customHeight="1" hidden="1">
      <c r="A19" s="207" t="s">
        <v>975</v>
      </c>
      <c r="B19" s="210">
        <v>434</v>
      </c>
      <c r="C19" s="207">
        <v>599</v>
      </c>
      <c r="D19" s="207">
        <f t="shared" si="0"/>
        <v>592</v>
      </c>
      <c r="E19" s="208">
        <v>7</v>
      </c>
      <c r="F19" s="209"/>
      <c r="G19" s="210">
        <v>646</v>
      </c>
      <c r="H19" s="210">
        <v>1257</v>
      </c>
      <c r="I19" s="207">
        <f t="shared" si="1"/>
        <v>1164</v>
      </c>
      <c r="J19" s="211">
        <v>93</v>
      </c>
      <c r="K19" s="212"/>
      <c r="L19" s="213">
        <f t="shared" si="2"/>
        <v>1080</v>
      </c>
      <c r="M19" s="213">
        <f t="shared" si="6"/>
        <v>1856</v>
      </c>
      <c r="N19" s="213">
        <f t="shared" si="6"/>
        <v>1756</v>
      </c>
      <c r="O19" s="213">
        <f t="shared" si="6"/>
        <v>100</v>
      </c>
    </row>
    <row r="20" spans="1:15" ht="14.25" customHeight="1" hidden="1">
      <c r="A20" s="207" t="s">
        <v>976</v>
      </c>
      <c r="B20" s="210">
        <v>810</v>
      </c>
      <c r="C20" s="207">
        <v>1061</v>
      </c>
      <c r="D20" s="207">
        <f t="shared" si="0"/>
        <v>1036</v>
      </c>
      <c r="E20" s="208">
        <v>25</v>
      </c>
      <c r="F20" s="209"/>
      <c r="G20" s="208">
        <v>817</v>
      </c>
      <c r="H20" s="214">
        <v>7467</v>
      </c>
      <c r="I20" s="207">
        <f t="shared" si="1"/>
        <v>7362</v>
      </c>
      <c r="J20" s="211">
        <v>105</v>
      </c>
      <c r="K20" s="209"/>
      <c r="L20" s="213">
        <f t="shared" si="2"/>
        <v>1627</v>
      </c>
      <c r="M20" s="213">
        <f t="shared" si="6"/>
        <v>8528</v>
      </c>
      <c r="N20" s="213">
        <f t="shared" si="6"/>
        <v>8398</v>
      </c>
      <c r="O20" s="213">
        <f t="shared" si="6"/>
        <v>130</v>
      </c>
    </row>
    <row r="21" spans="1:15" ht="14.25" customHeight="1">
      <c r="A21" s="607">
        <v>2004</v>
      </c>
      <c r="B21" s="508">
        <v>16720</v>
      </c>
      <c r="C21" s="508">
        <f>SUM(C22:C25)</f>
        <v>21977</v>
      </c>
      <c r="D21" s="508">
        <f>SUM(D22:D25)</f>
        <v>21841</v>
      </c>
      <c r="E21" s="508">
        <f>SUM(E22:E25)</f>
        <v>136</v>
      </c>
      <c r="F21" s="508"/>
      <c r="G21" s="508">
        <v>3509</v>
      </c>
      <c r="H21" s="508">
        <f>SUM(H22:H25)</f>
        <v>6010</v>
      </c>
      <c r="I21" s="508">
        <f>SUM(I22:I25)</f>
        <v>5575</v>
      </c>
      <c r="J21" s="508">
        <f>SUM(J22:J25)</f>
        <v>435</v>
      </c>
      <c r="K21" s="508"/>
      <c r="L21" s="610">
        <f t="shared" si="2"/>
        <v>20229</v>
      </c>
      <c r="M21" s="610">
        <f aca="true" t="shared" si="7" ref="M21:O25">SUM(C21,H21)</f>
        <v>27987</v>
      </c>
      <c r="N21" s="610">
        <f t="shared" si="7"/>
        <v>27416</v>
      </c>
      <c r="O21" s="610">
        <f t="shared" si="7"/>
        <v>571</v>
      </c>
    </row>
    <row r="22" spans="1:15" ht="14.25" customHeight="1" hidden="1">
      <c r="A22" s="206" t="s">
        <v>1105</v>
      </c>
      <c r="B22" s="210">
        <v>14347</v>
      </c>
      <c r="C22" s="207">
        <v>18912</v>
      </c>
      <c r="D22" s="207">
        <f>C22-E22</f>
        <v>18812</v>
      </c>
      <c r="E22" s="208">
        <v>100</v>
      </c>
      <c r="F22" s="209"/>
      <c r="G22" s="208">
        <v>1526</v>
      </c>
      <c r="H22" s="214">
        <v>2656</v>
      </c>
      <c r="I22" s="207">
        <f>H22-J22</f>
        <v>2483</v>
      </c>
      <c r="J22" s="211">
        <v>173</v>
      </c>
      <c r="K22" s="209"/>
      <c r="L22" s="226">
        <f t="shared" si="2"/>
        <v>15873</v>
      </c>
      <c r="M22" s="226">
        <f t="shared" si="7"/>
        <v>21568</v>
      </c>
      <c r="N22" s="226">
        <f t="shared" si="7"/>
        <v>21295</v>
      </c>
      <c r="O22" s="226">
        <f t="shared" si="7"/>
        <v>273</v>
      </c>
    </row>
    <row r="23" spans="1:15" ht="14.25" customHeight="1" hidden="1">
      <c r="A23" s="207" t="s">
        <v>974</v>
      </c>
      <c r="B23" s="210">
        <v>951</v>
      </c>
      <c r="C23" s="207">
        <v>1206</v>
      </c>
      <c r="D23" s="207">
        <f>C23-E23</f>
        <v>1196</v>
      </c>
      <c r="E23" s="208">
        <v>10</v>
      </c>
      <c r="F23" s="209"/>
      <c r="G23" s="208">
        <v>677</v>
      </c>
      <c r="H23" s="214">
        <v>1097</v>
      </c>
      <c r="I23" s="207">
        <f>H23-J23</f>
        <v>1021</v>
      </c>
      <c r="J23" s="211">
        <v>76</v>
      </c>
      <c r="K23" s="209"/>
      <c r="L23" s="226">
        <f t="shared" si="2"/>
        <v>1628</v>
      </c>
      <c r="M23" s="226">
        <f t="shared" si="7"/>
        <v>2303</v>
      </c>
      <c r="N23" s="226">
        <f t="shared" si="7"/>
        <v>2217</v>
      </c>
      <c r="O23" s="226">
        <f t="shared" si="7"/>
        <v>86</v>
      </c>
    </row>
    <row r="24" spans="1:15" ht="14.25" customHeight="1" hidden="1">
      <c r="A24" s="207" t="s">
        <v>975</v>
      </c>
      <c r="B24" s="210">
        <v>540</v>
      </c>
      <c r="C24" s="207">
        <v>754</v>
      </c>
      <c r="D24" s="207">
        <f>C24-E24</f>
        <v>746</v>
      </c>
      <c r="E24" s="208">
        <v>8</v>
      </c>
      <c r="F24" s="209"/>
      <c r="G24" s="208">
        <v>504</v>
      </c>
      <c r="H24" s="214">
        <v>935</v>
      </c>
      <c r="I24" s="207">
        <f>H24-J24</f>
        <v>855</v>
      </c>
      <c r="J24" s="211">
        <v>80</v>
      </c>
      <c r="K24" s="209"/>
      <c r="L24" s="226">
        <f t="shared" si="2"/>
        <v>1044</v>
      </c>
      <c r="M24" s="226">
        <f t="shared" si="7"/>
        <v>1689</v>
      </c>
      <c r="N24" s="226">
        <f t="shared" si="7"/>
        <v>1601</v>
      </c>
      <c r="O24" s="226">
        <f t="shared" si="7"/>
        <v>88</v>
      </c>
    </row>
    <row r="25" spans="1:15" ht="14.25" customHeight="1" hidden="1">
      <c r="A25" s="207" t="s">
        <v>976</v>
      </c>
      <c r="B25" s="210">
        <v>802</v>
      </c>
      <c r="C25" s="207">
        <v>1105</v>
      </c>
      <c r="D25" s="207">
        <f>C25-E25</f>
        <v>1087</v>
      </c>
      <c r="E25" s="208">
        <v>18</v>
      </c>
      <c r="F25" s="209"/>
      <c r="G25" s="208">
        <v>882</v>
      </c>
      <c r="H25" s="214">
        <v>1322</v>
      </c>
      <c r="I25" s="207">
        <f>H25-J25</f>
        <v>1216</v>
      </c>
      <c r="J25" s="211">
        <v>106</v>
      </c>
      <c r="K25" s="209"/>
      <c r="L25" s="226">
        <f t="shared" si="2"/>
        <v>1684</v>
      </c>
      <c r="M25" s="226">
        <f t="shared" si="7"/>
        <v>2427</v>
      </c>
      <c r="N25" s="226">
        <f t="shared" si="7"/>
        <v>2303</v>
      </c>
      <c r="O25" s="226">
        <f t="shared" si="7"/>
        <v>124</v>
      </c>
    </row>
    <row r="26" spans="1:15" ht="14.25" customHeight="1">
      <c r="A26" s="198">
        <v>2005</v>
      </c>
      <c r="B26" s="41">
        <v>17242</v>
      </c>
      <c r="C26" s="41">
        <f>SUM(C27:C30)</f>
        <v>22690</v>
      </c>
      <c r="D26" s="41">
        <f>SUM(D27:D30)</f>
        <v>22541</v>
      </c>
      <c r="E26" s="41">
        <f>SUM(E27:E30)</f>
        <v>149</v>
      </c>
      <c r="F26" s="41"/>
      <c r="G26" s="41">
        <f>SUM(G27:G30)</f>
        <v>3723</v>
      </c>
      <c r="H26" s="41">
        <f>SUM(H27:H30)</f>
        <v>6357</v>
      </c>
      <c r="I26" s="41">
        <f>SUM(I27:I30)</f>
        <v>5957</v>
      </c>
      <c r="J26" s="41">
        <f>SUM(J27:J30)</f>
        <v>400</v>
      </c>
      <c r="K26" s="41"/>
      <c r="L26" s="202">
        <f aca="true" t="shared" si="8" ref="L26:O40">SUM(B26,G26)</f>
        <v>20965</v>
      </c>
      <c r="M26" s="202">
        <f t="shared" si="8"/>
        <v>29047</v>
      </c>
      <c r="N26" s="202">
        <f t="shared" si="8"/>
        <v>28498</v>
      </c>
      <c r="O26" s="202">
        <f t="shared" si="8"/>
        <v>549</v>
      </c>
    </row>
    <row r="27" spans="1:15" ht="14.25" customHeight="1" hidden="1">
      <c r="A27" s="206" t="s">
        <v>1105</v>
      </c>
      <c r="B27" s="210">
        <v>14840</v>
      </c>
      <c r="C27" s="207">
        <v>19564</v>
      </c>
      <c r="D27" s="207">
        <f aca="true" t="shared" si="9" ref="D27:D35">C27-E27</f>
        <v>19454</v>
      </c>
      <c r="E27" s="208">
        <v>110</v>
      </c>
      <c r="F27" s="209"/>
      <c r="G27" s="208">
        <v>1647</v>
      </c>
      <c r="H27" s="231">
        <v>2827</v>
      </c>
      <c r="I27" s="207">
        <f aca="true" t="shared" si="10" ref="I27:I35">H27-J27</f>
        <v>2679</v>
      </c>
      <c r="J27" s="211">
        <v>148</v>
      </c>
      <c r="K27" s="209"/>
      <c r="L27" s="226">
        <f t="shared" si="8"/>
        <v>16487</v>
      </c>
      <c r="M27" s="226">
        <f t="shared" si="8"/>
        <v>22391</v>
      </c>
      <c r="N27" s="226">
        <f t="shared" si="8"/>
        <v>22133</v>
      </c>
      <c r="O27" s="226">
        <f t="shared" si="8"/>
        <v>258</v>
      </c>
    </row>
    <row r="28" spans="1:15" ht="14.25" customHeight="1" hidden="1">
      <c r="A28" s="207" t="s">
        <v>974</v>
      </c>
      <c r="B28" s="210">
        <v>985</v>
      </c>
      <c r="C28" s="207">
        <v>1255</v>
      </c>
      <c r="D28" s="207">
        <f t="shared" si="9"/>
        <v>1239</v>
      </c>
      <c r="E28" s="208">
        <v>16</v>
      </c>
      <c r="F28" s="209"/>
      <c r="G28" s="208">
        <v>615</v>
      </c>
      <c r="H28" s="231">
        <v>1076</v>
      </c>
      <c r="I28" s="207">
        <f t="shared" si="10"/>
        <v>998</v>
      </c>
      <c r="J28" s="211">
        <v>78</v>
      </c>
      <c r="K28" s="209"/>
      <c r="L28" s="226">
        <f t="shared" si="8"/>
        <v>1600</v>
      </c>
      <c r="M28" s="226">
        <f t="shared" si="8"/>
        <v>2331</v>
      </c>
      <c r="N28" s="226">
        <f t="shared" si="8"/>
        <v>2237</v>
      </c>
      <c r="O28" s="226">
        <f t="shared" si="8"/>
        <v>94</v>
      </c>
    </row>
    <row r="29" spans="1:15" ht="14.25" customHeight="1" hidden="1">
      <c r="A29" s="207" t="s">
        <v>975</v>
      </c>
      <c r="B29" s="210">
        <v>505</v>
      </c>
      <c r="C29" s="207">
        <v>704</v>
      </c>
      <c r="D29" s="207">
        <f t="shared" si="9"/>
        <v>691</v>
      </c>
      <c r="E29" s="208">
        <v>13</v>
      </c>
      <c r="F29" s="209"/>
      <c r="G29" s="208">
        <v>467</v>
      </c>
      <c r="H29" s="231">
        <v>859</v>
      </c>
      <c r="I29" s="207">
        <f t="shared" si="10"/>
        <v>783</v>
      </c>
      <c r="J29" s="211">
        <v>76</v>
      </c>
      <c r="K29" s="209"/>
      <c r="L29" s="226">
        <f t="shared" si="8"/>
        <v>972</v>
      </c>
      <c r="M29" s="226">
        <f t="shared" si="8"/>
        <v>1563</v>
      </c>
      <c r="N29" s="226">
        <f t="shared" si="8"/>
        <v>1474</v>
      </c>
      <c r="O29" s="226">
        <f t="shared" si="8"/>
        <v>89</v>
      </c>
    </row>
    <row r="30" spans="1:15" ht="14.25" customHeight="1" hidden="1">
      <c r="A30" s="207" t="s">
        <v>976</v>
      </c>
      <c r="B30" s="210">
        <v>912</v>
      </c>
      <c r="C30" s="207">
        <v>1167</v>
      </c>
      <c r="D30" s="207">
        <f t="shared" si="9"/>
        <v>1157</v>
      </c>
      <c r="E30" s="208">
        <v>10</v>
      </c>
      <c r="F30" s="209"/>
      <c r="G30" s="208">
        <v>994</v>
      </c>
      <c r="H30" s="231">
        <v>1595</v>
      </c>
      <c r="I30" s="207">
        <f t="shared" si="10"/>
        <v>1497</v>
      </c>
      <c r="J30" s="211">
        <v>98</v>
      </c>
      <c r="K30" s="209"/>
      <c r="L30" s="226">
        <f t="shared" si="8"/>
        <v>1906</v>
      </c>
      <c r="M30" s="226">
        <f t="shared" si="8"/>
        <v>2762</v>
      </c>
      <c r="N30" s="226">
        <f t="shared" si="8"/>
        <v>2654</v>
      </c>
      <c r="O30" s="226">
        <f t="shared" si="8"/>
        <v>108</v>
      </c>
    </row>
    <row r="31" spans="1:15" ht="14.25" customHeight="1">
      <c r="A31" s="607">
        <v>2006</v>
      </c>
      <c r="B31" s="508">
        <v>16895</v>
      </c>
      <c r="C31" s="608">
        <v>21946</v>
      </c>
      <c r="D31" s="608">
        <f t="shared" si="9"/>
        <v>21812</v>
      </c>
      <c r="E31" s="508">
        <v>134</v>
      </c>
      <c r="F31" s="612"/>
      <c r="G31" s="508">
        <v>7959</v>
      </c>
      <c r="H31" s="508">
        <v>11737</v>
      </c>
      <c r="I31" s="608">
        <f t="shared" si="10"/>
        <v>11380</v>
      </c>
      <c r="J31" s="473">
        <v>357</v>
      </c>
      <c r="K31" s="613"/>
      <c r="L31" s="610">
        <f t="shared" si="8"/>
        <v>24854</v>
      </c>
      <c r="M31" s="614">
        <f t="shared" si="8"/>
        <v>33683</v>
      </c>
      <c r="N31" s="610">
        <f t="shared" si="8"/>
        <v>33192</v>
      </c>
      <c r="O31" s="610">
        <f t="shared" si="8"/>
        <v>491</v>
      </c>
    </row>
    <row r="32" spans="1:15" ht="14.25" customHeight="1" hidden="1">
      <c r="A32" s="198">
        <v>2006</v>
      </c>
      <c r="B32" s="210">
        <v>14300</v>
      </c>
      <c r="C32" s="207">
        <v>18706</v>
      </c>
      <c r="D32" s="207">
        <f t="shared" si="9"/>
        <v>18706</v>
      </c>
      <c r="E32" s="208"/>
      <c r="F32" s="209"/>
      <c r="G32" s="208">
        <v>3907</v>
      </c>
      <c r="H32" s="214">
        <v>5670</v>
      </c>
      <c r="I32" s="207">
        <f t="shared" si="10"/>
        <v>5670</v>
      </c>
      <c r="J32" s="211"/>
      <c r="K32" s="209"/>
      <c r="L32" s="226">
        <f aca="true" t="shared" si="11" ref="L32:M40">SUM(B32,G32)</f>
        <v>18207</v>
      </c>
      <c r="M32" s="226">
        <f t="shared" si="11"/>
        <v>24376</v>
      </c>
      <c r="N32" s="202">
        <f t="shared" si="8"/>
        <v>24376</v>
      </c>
      <c r="O32" s="202">
        <f t="shared" si="8"/>
        <v>0</v>
      </c>
    </row>
    <row r="33" spans="1:15" ht="14.25" customHeight="1" hidden="1">
      <c r="A33" s="198">
        <v>2006</v>
      </c>
      <c r="B33" s="210">
        <v>1084</v>
      </c>
      <c r="C33" s="207">
        <v>1319</v>
      </c>
      <c r="D33" s="207">
        <f t="shared" si="9"/>
        <v>1319</v>
      </c>
      <c r="E33" s="208"/>
      <c r="F33" s="209"/>
      <c r="G33" s="208">
        <v>1572</v>
      </c>
      <c r="H33" s="214">
        <v>2302</v>
      </c>
      <c r="I33" s="207">
        <f t="shared" si="10"/>
        <v>2302</v>
      </c>
      <c r="J33" s="211"/>
      <c r="K33" s="209"/>
      <c r="L33" s="226">
        <f t="shared" si="11"/>
        <v>2656</v>
      </c>
      <c r="M33" s="226">
        <f t="shared" si="11"/>
        <v>3621</v>
      </c>
      <c r="N33" s="202">
        <f t="shared" si="8"/>
        <v>3621</v>
      </c>
      <c r="O33" s="202">
        <f t="shared" si="8"/>
        <v>0</v>
      </c>
    </row>
    <row r="34" spans="1:15" ht="14.25" customHeight="1" hidden="1">
      <c r="A34" s="198">
        <v>2006</v>
      </c>
      <c r="B34" s="210">
        <v>405</v>
      </c>
      <c r="C34" s="207">
        <v>535</v>
      </c>
      <c r="D34" s="207">
        <f t="shared" si="9"/>
        <v>535</v>
      </c>
      <c r="E34" s="208"/>
      <c r="F34" s="209"/>
      <c r="G34" s="208">
        <v>1064</v>
      </c>
      <c r="H34" s="214">
        <v>1650</v>
      </c>
      <c r="I34" s="207">
        <f t="shared" si="10"/>
        <v>1650</v>
      </c>
      <c r="J34" s="211"/>
      <c r="K34" s="209"/>
      <c r="L34" s="226">
        <f t="shared" si="11"/>
        <v>1469</v>
      </c>
      <c r="M34" s="226">
        <f t="shared" si="11"/>
        <v>2185</v>
      </c>
      <c r="N34" s="202">
        <f t="shared" si="8"/>
        <v>2185</v>
      </c>
      <c r="O34" s="202">
        <f t="shared" si="8"/>
        <v>0</v>
      </c>
    </row>
    <row r="35" spans="1:15" ht="14.25" customHeight="1" hidden="1">
      <c r="A35" s="198">
        <v>2006</v>
      </c>
      <c r="B35" s="210">
        <v>1106</v>
      </c>
      <c r="C35" s="207">
        <v>1386</v>
      </c>
      <c r="D35" s="207">
        <f t="shared" si="9"/>
        <v>1386</v>
      </c>
      <c r="E35" s="208"/>
      <c r="F35" s="209"/>
      <c r="G35" s="208">
        <v>1416</v>
      </c>
      <c r="H35" s="214">
        <v>2115</v>
      </c>
      <c r="I35" s="207">
        <f t="shared" si="10"/>
        <v>2115</v>
      </c>
      <c r="J35" s="211"/>
      <c r="K35" s="209"/>
      <c r="L35" s="226">
        <f t="shared" si="11"/>
        <v>2522</v>
      </c>
      <c r="M35" s="226">
        <f t="shared" si="11"/>
        <v>3501</v>
      </c>
      <c r="N35" s="202">
        <f t="shared" si="8"/>
        <v>3501</v>
      </c>
      <c r="O35" s="202">
        <f t="shared" si="8"/>
        <v>0</v>
      </c>
    </row>
    <row r="36" spans="1:15" ht="14.25" customHeight="1">
      <c r="A36" s="198">
        <v>2007</v>
      </c>
      <c r="B36" s="41">
        <v>17275</v>
      </c>
      <c r="C36" s="66">
        <v>22141</v>
      </c>
      <c r="D36" s="66">
        <v>22021</v>
      </c>
      <c r="E36" s="230">
        <v>120</v>
      </c>
      <c r="G36" s="230">
        <v>8788</v>
      </c>
      <c r="H36" s="112">
        <v>12945</v>
      </c>
      <c r="I36" s="66">
        <v>12612</v>
      </c>
      <c r="J36" s="39">
        <v>333</v>
      </c>
      <c r="K36" s="209"/>
      <c r="L36" s="202">
        <f t="shared" si="11"/>
        <v>26063</v>
      </c>
      <c r="M36" s="226">
        <f t="shared" si="11"/>
        <v>35086</v>
      </c>
      <c r="N36" s="202">
        <f t="shared" si="8"/>
        <v>34633</v>
      </c>
      <c r="O36" s="202">
        <f t="shared" si="8"/>
        <v>453</v>
      </c>
    </row>
    <row r="37" spans="1:15" ht="14.25" customHeight="1" hidden="1">
      <c r="A37" s="248">
        <v>2007</v>
      </c>
      <c r="B37" s="41">
        <v>14844</v>
      </c>
      <c r="C37" s="66">
        <v>19142</v>
      </c>
      <c r="D37" s="66">
        <v>19061</v>
      </c>
      <c r="E37" s="230">
        <v>81</v>
      </c>
      <c r="G37" s="230">
        <v>4393</v>
      </c>
      <c r="H37" s="112">
        <v>6400</v>
      </c>
      <c r="I37" s="66">
        <v>6294</v>
      </c>
      <c r="J37" s="39">
        <v>106</v>
      </c>
      <c r="K37" s="80"/>
      <c r="L37" s="226">
        <f t="shared" si="11"/>
        <v>19237</v>
      </c>
      <c r="M37" s="226">
        <f t="shared" si="11"/>
        <v>25542</v>
      </c>
      <c r="N37" s="226">
        <f t="shared" si="8"/>
        <v>25355</v>
      </c>
      <c r="O37" s="202">
        <f t="shared" si="8"/>
        <v>187</v>
      </c>
    </row>
    <row r="38" spans="1:15" ht="14.25" customHeight="1" hidden="1">
      <c r="A38" s="248">
        <v>2007</v>
      </c>
      <c r="B38" s="41">
        <v>1109</v>
      </c>
      <c r="C38" s="66">
        <v>1356</v>
      </c>
      <c r="D38" s="66">
        <v>1342</v>
      </c>
      <c r="E38" s="230">
        <v>14</v>
      </c>
      <c r="G38" s="230">
        <v>1637</v>
      </c>
      <c r="H38" s="112">
        <v>2438</v>
      </c>
      <c r="I38" s="66">
        <v>2362</v>
      </c>
      <c r="J38" s="39">
        <v>76</v>
      </c>
      <c r="K38" s="80"/>
      <c r="L38" s="226">
        <f t="shared" si="11"/>
        <v>2746</v>
      </c>
      <c r="M38" s="226">
        <f t="shared" si="11"/>
        <v>3794</v>
      </c>
      <c r="N38" s="226">
        <f t="shared" si="8"/>
        <v>3704</v>
      </c>
      <c r="O38" s="202">
        <f t="shared" si="8"/>
        <v>90</v>
      </c>
    </row>
    <row r="39" spans="1:15" ht="14.25" customHeight="1" hidden="1">
      <c r="A39" s="248">
        <v>2007</v>
      </c>
      <c r="B39" s="41">
        <v>314</v>
      </c>
      <c r="C39" s="66">
        <v>382</v>
      </c>
      <c r="D39" s="66">
        <v>372</v>
      </c>
      <c r="E39" s="230">
        <v>10</v>
      </c>
      <c r="G39" s="230">
        <v>1166</v>
      </c>
      <c r="H39" s="112">
        <v>1812</v>
      </c>
      <c r="I39" s="66">
        <v>1739</v>
      </c>
      <c r="J39" s="39">
        <v>73</v>
      </c>
      <c r="K39" s="80"/>
      <c r="L39" s="226">
        <f t="shared" si="11"/>
        <v>1480</v>
      </c>
      <c r="M39" s="226">
        <f t="shared" si="11"/>
        <v>2194</v>
      </c>
      <c r="N39" s="226">
        <f t="shared" si="8"/>
        <v>2111</v>
      </c>
      <c r="O39" s="202">
        <f t="shared" si="8"/>
        <v>83</v>
      </c>
    </row>
    <row r="40" spans="1:15" ht="14.25" customHeight="1" hidden="1">
      <c r="A40" s="248">
        <v>2007</v>
      </c>
      <c r="B40" s="41">
        <v>1008</v>
      </c>
      <c r="C40" s="66">
        <v>1261</v>
      </c>
      <c r="D40" s="66">
        <v>1246</v>
      </c>
      <c r="E40" s="230">
        <v>15</v>
      </c>
      <c r="G40" s="230">
        <v>1592</v>
      </c>
      <c r="H40" s="112">
        <v>2295</v>
      </c>
      <c r="I40" s="66">
        <v>2217</v>
      </c>
      <c r="J40" s="39">
        <v>78</v>
      </c>
      <c r="K40" s="80"/>
      <c r="L40" s="226">
        <f t="shared" si="11"/>
        <v>2600</v>
      </c>
      <c r="M40" s="226">
        <f t="shared" si="11"/>
        <v>3556</v>
      </c>
      <c r="N40" s="226">
        <f t="shared" si="8"/>
        <v>3463</v>
      </c>
      <c r="O40" s="202">
        <f t="shared" si="8"/>
        <v>93</v>
      </c>
    </row>
    <row r="41" spans="1:15" ht="14.25" customHeight="1">
      <c r="A41" s="615">
        <v>2008</v>
      </c>
      <c r="B41" s="508">
        <v>16445</v>
      </c>
      <c r="C41" s="508">
        <f>SUM(C42:C45)</f>
        <v>0</v>
      </c>
      <c r="D41" s="508">
        <v>20997</v>
      </c>
      <c r="E41" s="508">
        <f>SUM(E42:E45)</f>
        <v>104</v>
      </c>
      <c r="F41" s="613"/>
      <c r="G41" s="508">
        <v>8145</v>
      </c>
      <c r="H41" s="508">
        <f>SUM(H42:H45)</f>
        <v>0</v>
      </c>
      <c r="I41" s="508">
        <v>12053</v>
      </c>
      <c r="J41" s="508">
        <f>SUM(J42:J45)</f>
        <v>287</v>
      </c>
      <c r="K41" s="613"/>
      <c r="L41" s="610">
        <f>SUM(L42:L45)</f>
        <v>24590</v>
      </c>
      <c r="M41" s="610">
        <f>SUM(M42:M45)</f>
        <v>0</v>
      </c>
      <c r="N41" s="610">
        <f aca="true" t="shared" si="12" ref="N41:O47">SUM(D41,I41)</f>
        <v>33050</v>
      </c>
      <c r="O41" s="610">
        <f t="shared" si="12"/>
        <v>391</v>
      </c>
    </row>
    <row r="42" spans="1:15" ht="14.25" customHeight="1" hidden="1">
      <c r="A42" s="248"/>
      <c r="B42" s="41">
        <v>14203</v>
      </c>
      <c r="C42" s="66"/>
      <c r="D42" s="66"/>
      <c r="E42" s="230">
        <v>68</v>
      </c>
      <c r="G42" s="230">
        <v>4217</v>
      </c>
      <c r="H42" s="112"/>
      <c r="I42" s="66"/>
      <c r="J42" s="39">
        <v>112</v>
      </c>
      <c r="K42" s="80"/>
      <c r="L42" s="226">
        <f aca="true" t="shared" si="13" ref="L42:L47">SUM(B42,G42)</f>
        <v>18420</v>
      </c>
      <c r="M42" s="226"/>
      <c r="N42" s="202">
        <f t="shared" si="12"/>
        <v>0</v>
      </c>
      <c r="O42" s="202">
        <f t="shared" si="12"/>
        <v>180</v>
      </c>
    </row>
    <row r="43" spans="1:15" ht="14.25" customHeight="1" hidden="1">
      <c r="A43" s="248"/>
      <c r="B43" s="41">
        <v>1074</v>
      </c>
      <c r="C43" s="66"/>
      <c r="D43" s="66"/>
      <c r="E43" s="230">
        <v>14</v>
      </c>
      <c r="G43" s="230">
        <v>1466</v>
      </c>
      <c r="H43" s="112"/>
      <c r="I43" s="66"/>
      <c r="J43" s="39">
        <v>50</v>
      </c>
      <c r="K43" s="80"/>
      <c r="L43" s="226">
        <f t="shared" si="13"/>
        <v>2540</v>
      </c>
      <c r="M43" s="226"/>
      <c r="N43" s="202">
        <f t="shared" si="12"/>
        <v>0</v>
      </c>
      <c r="O43" s="202">
        <f t="shared" si="12"/>
        <v>64</v>
      </c>
    </row>
    <row r="44" spans="1:15" ht="14.25" customHeight="1" hidden="1">
      <c r="A44" s="248"/>
      <c r="B44" s="41">
        <v>210</v>
      </c>
      <c r="C44" s="66"/>
      <c r="D44" s="66"/>
      <c r="E44" s="230">
        <v>11</v>
      </c>
      <c r="G44" s="230">
        <v>1000</v>
      </c>
      <c r="H44" s="112"/>
      <c r="I44" s="66"/>
      <c r="J44" s="39">
        <v>62</v>
      </c>
      <c r="K44" s="80"/>
      <c r="L44" s="226">
        <f t="shared" si="13"/>
        <v>1210</v>
      </c>
      <c r="M44" s="226"/>
      <c r="N44" s="202">
        <f t="shared" si="12"/>
        <v>0</v>
      </c>
      <c r="O44" s="202">
        <f t="shared" si="12"/>
        <v>73</v>
      </c>
    </row>
    <row r="45" spans="1:15" ht="14.25" customHeight="1" hidden="1">
      <c r="A45" s="248"/>
      <c r="B45" s="41">
        <v>976</v>
      </c>
      <c r="C45" s="66"/>
      <c r="D45" s="66"/>
      <c r="E45" s="230">
        <v>11</v>
      </c>
      <c r="G45" s="230">
        <v>1444</v>
      </c>
      <c r="H45" s="112"/>
      <c r="I45" s="66"/>
      <c r="J45" s="39">
        <v>63</v>
      </c>
      <c r="K45" s="80"/>
      <c r="L45" s="226">
        <f t="shared" si="13"/>
        <v>2420</v>
      </c>
      <c r="M45" s="226"/>
      <c r="N45" s="202">
        <f t="shared" si="12"/>
        <v>0</v>
      </c>
      <c r="O45" s="202">
        <f t="shared" si="12"/>
        <v>74</v>
      </c>
    </row>
    <row r="46" spans="1:15" ht="14.25" customHeight="1">
      <c r="A46" s="248">
        <v>2009</v>
      </c>
      <c r="B46" s="41">
        <v>16691</v>
      </c>
      <c r="C46" s="66"/>
      <c r="D46" s="66">
        <v>21253</v>
      </c>
      <c r="E46" s="230">
        <v>97</v>
      </c>
      <c r="G46" s="230">
        <v>7972</v>
      </c>
      <c r="H46" s="112"/>
      <c r="I46" s="66">
        <v>11905</v>
      </c>
      <c r="J46" s="39">
        <v>269</v>
      </c>
      <c r="K46" s="80"/>
      <c r="L46" s="202">
        <f t="shared" si="13"/>
        <v>24663</v>
      </c>
      <c r="M46" s="226"/>
      <c r="N46" s="202">
        <f t="shared" si="12"/>
        <v>33158</v>
      </c>
      <c r="O46" s="202">
        <f t="shared" si="12"/>
        <v>366</v>
      </c>
    </row>
    <row r="47" spans="1:15" ht="14.25" customHeight="1">
      <c r="A47" s="615">
        <v>2010</v>
      </c>
      <c r="B47" s="508">
        <v>15990</v>
      </c>
      <c r="C47" s="608"/>
      <c r="D47" s="608">
        <v>20484</v>
      </c>
      <c r="E47" s="508">
        <v>93</v>
      </c>
      <c r="F47" s="613"/>
      <c r="G47" s="508">
        <v>8142</v>
      </c>
      <c r="H47" s="616"/>
      <c r="I47" s="608">
        <v>12184</v>
      </c>
      <c r="J47" s="473">
        <v>246</v>
      </c>
      <c r="K47" s="613"/>
      <c r="L47" s="610">
        <f t="shared" si="13"/>
        <v>24132</v>
      </c>
      <c r="M47" s="617"/>
      <c r="N47" s="610">
        <f t="shared" si="12"/>
        <v>32668</v>
      </c>
      <c r="O47" s="610">
        <v>339</v>
      </c>
    </row>
    <row r="48" spans="1:15" ht="14.25" customHeight="1">
      <c r="A48" s="248">
        <v>2011</v>
      </c>
      <c r="B48" s="41">
        <v>15528</v>
      </c>
      <c r="C48" s="66"/>
      <c r="D48" s="66">
        <v>19803</v>
      </c>
      <c r="E48" s="230">
        <v>75</v>
      </c>
      <c r="G48" s="230">
        <v>7247</v>
      </c>
      <c r="H48" s="112"/>
      <c r="I48" s="66">
        <v>10689</v>
      </c>
      <c r="J48" s="39">
        <v>205</v>
      </c>
      <c r="K48" s="80"/>
      <c r="L48" s="202">
        <f>SUM(B48,G48)</f>
        <v>22775</v>
      </c>
      <c r="M48" s="226"/>
      <c r="N48" s="202">
        <f aca="true" t="shared" si="14" ref="N48:O51">SUM(D48,I48)</f>
        <v>30492</v>
      </c>
      <c r="O48" s="202">
        <f t="shared" si="14"/>
        <v>280</v>
      </c>
    </row>
    <row r="49" spans="1:15" ht="14.25" customHeight="1">
      <c r="A49" s="615">
        <v>2012</v>
      </c>
      <c r="B49" s="508">
        <v>16144</v>
      </c>
      <c r="C49" s="608"/>
      <c r="D49" s="608">
        <v>20742</v>
      </c>
      <c r="E49" s="508">
        <v>80</v>
      </c>
      <c r="F49" s="613"/>
      <c r="G49" s="508">
        <v>7224</v>
      </c>
      <c r="H49" s="616"/>
      <c r="I49" s="608">
        <v>10888</v>
      </c>
      <c r="J49" s="473">
        <v>194</v>
      </c>
      <c r="K49" s="613"/>
      <c r="L49" s="610">
        <f>SUM(B49,G49)</f>
        <v>23368</v>
      </c>
      <c r="M49" s="617"/>
      <c r="N49" s="610">
        <f t="shared" si="14"/>
        <v>31630</v>
      </c>
      <c r="O49" s="610">
        <f t="shared" si="14"/>
        <v>274</v>
      </c>
    </row>
    <row r="50" spans="1:15" ht="14.25" customHeight="1">
      <c r="A50" s="248">
        <v>2013</v>
      </c>
      <c r="B50" s="41">
        <v>15901</v>
      </c>
      <c r="C50" s="66"/>
      <c r="D50" s="66">
        <v>20363</v>
      </c>
      <c r="E50" s="230">
        <v>62</v>
      </c>
      <c r="G50" s="230">
        <v>7930</v>
      </c>
      <c r="H50" s="112"/>
      <c r="I50" s="66">
        <v>11817</v>
      </c>
      <c r="J50" s="39">
        <v>170</v>
      </c>
      <c r="K50" s="80"/>
      <c r="L50" s="202">
        <f>SUM(B50,G50)</f>
        <v>23831</v>
      </c>
      <c r="M50" s="226"/>
      <c r="N50" s="202">
        <f t="shared" si="14"/>
        <v>32180</v>
      </c>
      <c r="O50" s="202">
        <f t="shared" si="14"/>
        <v>232</v>
      </c>
    </row>
    <row r="51" spans="1:15" ht="14.25" customHeight="1">
      <c r="A51" s="615">
        <v>2014</v>
      </c>
      <c r="B51" s="508">
        <v>16305</v>
      </c>
      <c r="C51" s="608"/>
      <c r="D51" s="608">
        <v>20823</v>
      </c>
      <c r="E51" s="508">
        <v>90</v>
      </c>
      <c r="F51" s="613"/>
      <c r="G51" s="508">
        <v>7523</v>
      </c>
      <c r="H51" s="616"/>
      <c r="I51" s="608">
        <v>11264</v>
      </c>
      <c r="J51" s="473">
        <v>140</v>
      </c>
      <c r="K51" s="613"/>
      <c r="L51" s="610">
        <f>SUM(B51,G51)</f>
        <v>23828</v>
      </c>
      <c r="M51" s="617"/>
      <c r="N51" s="610">
        <f t="shared" si="14"/>
        <v>32087</v>
      </c>
      <c r="O51" s="610">
        <f t="shared" si="14"/>
        <v>230</v>
      </c>
    </row>
    <row r="52" spans="1:15" ht="14.25" customHeight="1">
      <c r="A52" s="248">
        <v>2015</v>
      </c>
      <c r="B52" s="41">
        <v>17279</v>
      </c>
      <c r="C52" s="66"/>
      <c r="D52" s="66">
        <v>21888</v>
      </c>
      <c r="E52" s="230">
        <v>102</v>
      </c>
      <c r="G52" s="230">
        <v>8007</v>
      </c>
      <c r="H52" s="112"/>
      <c r="I52" s="66">
        <v>11785</v>
      </c>
      <c r="J52" s="39">
        <v>189</v>
      </c>
      <c r="K52" s="80"/>
      <c r="L52" s="202">
        <v>25286</v>
      </c>
      <c r="M52" s="226"/>
      <c r="N52" s="202">
        <v>33673</v>
      </c>
      <c r="O52" s="202">
        <v>291</v>
      </c>
    </row>
    <row r="53" spans="1:15" ht="14.25" customHeight="1">
      <c r="A53" s="615">
        <v>2016</v>
      </c>
      <c r="B53" s="508">
        <v>18220</v>
      </c>
      <c r="C53" s="608"/>
      <c r="D53" s="608">
        <v>22881</v>
      </c>
      <c r="E53" s="508">
        <v>77</v>
      </c>
      <c r="F53" s="613"/>
      <c r="G53" s="508">
        <v>8775</v>
      </c>
      <c r="H53" s="616"/>
      <c r="I53" s="608">
        <v>13169</v>
      </c>
      <c r="J53" s="473">
        <v>154</v>
      </c>
      <c r="K53" s="613"/>
      <c r="L53" s="610">
        <f>B53+G53</f>
        <v>26995</v>
      </c>
      <c r="M53" s="617"/>
      <c r="N53" s="610">
        <f aca="true" t="shared" si="15" ref="N53:O55">D53+I53</f>
        <v>36050</v>
      </c>
      <c r="O53" s="610">
        <f t="shared" si="15"/>
        <v>231</v>
      </c>
    </row>
    <row r="54" spans="1:15" ht="14.25" customHeight="1">
      <c r="A54" s="761">
        <v>2017</v>
      </c>
      <c r="B54" s="230">
        <v>18097</v>
      </c>
      <c r="C54" s="762"/>
      <c r="D54" s="762">
        <f>933+21642</f>
        <v>22575</v>
      </c>
      <c r="E54" s="230">
        <v>72</v>
      </c>
      <c r="F54" s="763"/>
      <c r="G54" s="230">
        <v>8955</v>
      </c>
      <c r="H54" s="764"/>
      <c r="I54" s="762">
        <f>778+12574</f>
        <v>13352</v>
      </c>
      <c r="J54" s="282">
        <v>168</v>
      </c>
      <c r="K54" s="763"/>
      <c r="L54" s="765">
        <f>B54+G54</f>
        <v>27052</v>
      </c>
      <c r="M54" s="766"/>
      <c r="N54" s="765">
        <f t="shared" si="15"/>
        <v>35927</v>
      </c>
      <c r="O54" s="765">
        <f t="shared" si="15"/>
        <v>240</v>
      </c>
    </row>
    <row r="55" spans="1:15" ht="14.25" customHeight="1">
      <c r="A55" s="615">
        <v>2018</v>
      </c>
      <c r="B55" s="508">
        <v>18052</v>
      </c>
      <c r="C55" s="608"/>
      <c r="D55" s="781">
        <f>953+21511</f>
        <v>22464</v>
      </c>
      <c r="E55" s="508">
        <v>67</v>
      </c>
      <c r="F55" s="613"/>
      <c r="G55" s="508">
        <v>8855</v>
      </c>
      <c r="H55" s="616"/>
      <c r="I55" s="781">
        <f>783+12245</f>
        <v>13028</v>
      </c>
      <c r="J55" s="473">
        <v>193</v>
      </c>
      <c r="K55" s="613"/>
      <c r="L55" s="610">
        <f>B55+G55</f>
        <v>26907</v>
      </c>
      <c r="M55" s="617">
        <f>C55+H55</f>
        <v>0</v>
      </c>
      <c r="N55" s="610">
        <f t="shared" si="15"/>
        <v>35492</v>
      </c>
      <c r="O55" s="610">
        <f t="shared" si="15"/>
        <v>260</v>
      </c>
    </row>
    <row r="56" spans="1:15" ht="14.25" customHeight="1">
      <c r="A56" s="43"/>
      <c r="B56" s="182"/>
      <c r="C56" s="182"/>
      <c r="D56" s="183"/>
      <c r="E56" s="183"/>
      <c r="F56" s="114"/>
      <c r="G56" s="114"/>
      <c r="H56" s="205"/>
      <c r="I56" s="114"/>
      <c r="J56" s="200"/>
      <c r="K56" s="200"/>
      <c r="L56" s="204"/>
      <c r="M56" s="204"/>
      <c r="N56" s="205"/>
      <c r="O56" s="205"/>
    </row>
    <row r="57" spans="1:13" ht="12.75">
      <c r="A57" s="111"/>
      <c r="B57" s="184"/>
      <c r="C57" s="184"/>
      <c r="D57" s="181"/>
      <c r="E57" s="181"/>
      <c r="F57" s="112"/>
      <c r="G57" s="112"/>
      <c r="H57" s="112"/>
      <c r="I57" s="112"/>
      <c r="J57" s="113"/>
      <c r="K57" s="113"/>
      <c r="L57" s="197"/>
      <c r="M57" s="197"/>
    </row>
    <row r="58" spans="1:13" ht="12.75">
      <c r="A58" s="258" t="s">
        <v>388</v>
      </c>
      <c r="B58" s="184"/>
      <c r="C58" s="184"/>
      <c r="D58" s="181"/>
      <c r="E58" s="181"/>
      <c r="F58" s="112"/>
      <c r="G58" s="112"/>
      <c r="H58" s="112"/>
      <c r="I58" s="112"/>
      <c r="J58" s="113"/>
      <c r="K58" s="113"/>
      <c r="L58" s="197"/>
      <c r="M58" s="197"/>
    </row>
    <row r="59" spans="1:13" ht="12.75">
      <c r="A59" s="258" t="s">
        <v>284</v>
      </c>
      <c r="B59" s="179"/>
      <c r="C59" s="179"/>
      <c r="D59" s="181"/>
      <c r="E59" s="181"/>
      <c r="F59" s="112"/>
      <c r="G59" s="112"/>
      <c r="H59" s="112"/>
      <c r="I59" s="112"/>
      <c r="J59" s="110"/>
      <c r="K59" s="110"/>
      <c r="L59" s="197"/>
      <c r="M59" s="197"/>
    </row>
    <row r="60" spans="1:13" ht="12.75">
      <c r="A60" s="111"/>
      <c r="B60" s="184"/>
      <c r="C60" s="184"/>
      <c r="D60" s="181"/>
      <c r="E60" s="181"/>
      <c r="F60" s="112"/>
      <c r="G60" s="112"/>
      <c r="H60" s="112"/>
      <c r="I60" s="112"/>
      <c r="J60" s="113"/>
      <c r="K60" s="113"/>
      <c r="L60" s="197"/>
      <c r="M60" s="197"/>
    </row>
    <row r="61" spans="1:13" ht="12.75">
      <c r="A61" s="80"/>
      <c r="B61" s="185"/>
      <c r="C61" s="185"/>
      <c r="D61" s="186"/>
      <c r="E61" s="186"/>
      <c r="F61" s="116"/>
      <c r="G61" s="116"/>
      <c r="H61" s="116"/>
      <c r="I61" s="116"/>
      <c r="J61" s="109"/>
      <c r="K61" s="109"/>
      <c r="L61" s="197"/>
      <c r="M61" s="197"/>
    </row>
    <row r="62" spans="1:13" ht="12.75">
      <c r="A62" s="105"/>
      <c r="B62" s="180"/>
      <c r="C62" s="180"/>
      <c r="D62" s="180"/>
      <c r="E62" s="180"/>
      <c r="F62" s="105"/>
      <c r="G62" s="105"/>
      <c r="H62" s="105"/>
      <c r="I62" s="105"/>
      <c r="J62" s="106"/>
      <c r="K62" s="106"/>
      <c r="L62" s="197"/>
      <c r="M62" s="197"/>
    </row>
    <row r="63" spans="1:13" ht="15">
      <c r="A63" s="107"/>
      <c r="B63" s="180"/>
      <c r="C63" s="180"/>
      <c r="D63" s="180"/>
      <c r="E63" s="180"/>
      <c r="F63" s="105"/>
      <c r="G63" s="105"/>
      <c r="H63" s="105"/>
      <c r="I63" s="105"/>
      <c r="J63" s="106"/>
      <c r="K63" s="106"/>
      <c r="L63" s="197"/>
      <c r="M63" s="197"/>
    </row>
    <row r="64" spans="1:13" ht="15.75">
      <c r="A64" s="117"/>
      <c r="B64" s="180"/>
      <c r="C64" s="180"/>
      <c r="D64" s="180"/>
      <c r="E64" s="180"/>
      <c r="F64" s="105"/>
      <c r="G64" s="105"/>
      <c r="H64" s="105"/>
      <c r="I64" s="105"/>
      <c r="J64" s="106"/>
      <c r="K64" s="106"/>
      <c r="L64" s="197"/>
      <c r="M64" s="197"/>
    </row>
    <row r="65" spans="1:13" ht="12.75">
      <c r="A65" s="104"/>
      <c r="B65" s="180"/>
      <c r="C65" s="180"/>
      <c r="D65" s="180"/>
      <c r="E65" s="180"/>
      <c r="F65" s="105"/>
      <c r="G65" s="105"/>
      <c r="H65" s="105"/>
      <c r="I65" s="105"/>
      <c r="J65" s="106"/>
      <c r="K65" s="106"/>
      <c r="L65" s="197"/>
      <c r="M65" s="197"/>
    </row>
    <row r="66" spans="1:13" ht="12.75">
      <c r="A66" s="104"/>
      <c r="B66" s="180"/>
      <c r="C66" s="180"/>
      <c r="D66" s="180"/>
      <c r="E66" s="180"/>
      <c r="F66" s="105"/>
      <c r="G66" s="105"/>
      <c r="H66" s="105"/>
      <c r="I66" s="105"/>
      <c r="J66" s="106"/>
      <c r="K66" s="106"/>
      <c r="L66" s="197"/>
      <c r="M66" s="197"/>
    </row>
    <row r="67" spans="1:13" ht="12.75">
      <c r="A67" s="104"/>
      <c r="B67" s="180"/>
      <c r="C67" s="180"/>
      <c r="D67" s="180"/>
      <c r="E67" s="180"/>
      <c r="F67" s="105"/>
      <c r="G67" s="105"/>
      <c r="H67" s="105"/>
      <c r="I67" s="105"/>
      <c r="J67" s="106"/>
      <c r="K67" s="106"/>
      <c r="L67" s="197"/>
      <c r="M67" s="197"/>
    </row>
    <row r="68" spans="1:13" ht="12.75">
      <c r="A68" s="104"/>
      <c r="B68" s="180"/>
      <c r="C68" s="180"/>
      <c r="D68" s="180"/>
      <c r="E68" s="180"/>
      <c r="F68" s="105"/>
      <c r="G68" s="105"/>
      <c r="H68" s="105"/>
      <c r="I68" s="105"/>
      <c r="J68" s="106"/>
      <c r="K68" s="106"/>
      <c r="L68" s="197"/>
      <c r="M68" s="197"/>
    </row>
    <row r="69" spans="1:13" ht="12.75">
      <c r="A69" s="104"/>
      <c r="B69" s="180"/>
      <c r="C69" s="180"/>
      <c r="D69" s="180"/>
      <c r="E69" s="180"/>
      <c r="F69" s="105"/>
      <c r="G69" s="105"/>
      <c r="H69" s="105"/>
      <c r="I69" s="105"/>
      <c r="J69" s="106"/>
      <c r="K69" s="106"/>
      <c r="L69" s="197"/>
      <c r="M69" s="197"/>
    </row>
    <row r="70" spans="1:13" ht="12.75">
      <c r="A70" s="104"/>
      <c r="B70" s="180"/>
      <c r="C70" s="180"/>
      <c r="D70" s="180"/>
      <c r="E70" s="180"/>
      <c r="F70" s="105"/>
      <c r="G70" s="105"/>
      <c r="H70" s="105"/>
      <c r="I70" s="105"/>
      <c r="J70" s="106"/>
      <c r="K70" s="106"/>
      <c r="L70" s="197"/>
      <c r="M70" s="197"/>
    </row>
    <row r="71" spans="1:13" ht="12.75">
      <c r="A71" s="104"/>
      <c r="B71" s="180"/>
      <c r="C71" s="180"/>
      <c r="D71" s="180"/>
      <c r="E71" s="180"/>
      <c r="F71" s="105"/>
      <c r="G71" s="105"/>
      <c r="H71" s="105"/>
      <c r="I71" s="105"/>
      <c r="J71" s="106"/>
      <c r="K71" s="106"/>
      <c r="L71" s="197"/>
      <c r="M71" s="197"/>
    </row>
    <row r="72" spans="1:13" ht="12.75">
      <c r="A72" s="104"/>
      <c r="B72" s="180"/>
      <c r="C72" s="180"/>
      <c r="D72" s="180"/>
      <c r="E72" s="180"/>
      <c r="F72" s="105"/>
      <c r="G72" s="105"/>
      <c r="H72" s="105"/>
      <c r="I72" s="105"/>
      <c r="J72" s="106"/>
      <c r="K72" s="106"/>
      <c r="L72" s="197"/>
      <c r="M72" s="197"/>
    </row>
    <row r="73" spans="1:13" ht="12.75">
      <c r="A73" s="118"/>
      <c r="B73" s="187"/>
      <c r="C73" s="187"/>
      <c r="D73" s="187"/>
      <c r="E73" s="187"/>
      <c r="F73" s="108"/>
      <c r="G73" s="108"/>
      <c r="H73" s="108"/>
      <c r="I73" s="108"/>
      <c r="J73" s="119"/>
      <c r="K73" s="119"/>
      <c r="L73" s="197"/>
      <c r="M73" s="197"/>
    </row>
    <row r="74" spans="1:13" ht="12.75">
      <c r="A74" s="118"/>
      <c r="B74" s="187"/>
      <c r="C74" s="187"/>
      <c r="D74" s="187"/>
      <c r="E74" s="187"/>
      <c r="F74" s="108"/>
      <c r="G74" s="108"/>
      <c r="H74" s="108"/>
      <c r="I74" s="108"/>
      <c r="J74" s="119"/>
      <c r="K74" s="119"/>
      <c r="L74" s="197"/>
      <c r="M74" s="197"/>
    </row>
    <row r="75" spans="1:13" ht="12.75">
      <c r="A75" s="118"/>
      <c r="B75" s="187"/>
      <c r="C75" s="187"/>
      <c r="D75" s="187"/>
      <c r="E75" s="187"/>
      <c r="F75" s="108"/>
      <c r="G75" s="108"/>
      <c r="H75" s="108"/>
      <c r="I75" s="108"/>
      <c r="J75" s="119"/>
      <c r="K75" s="119"/>
      <c r="L75" s="197"/>
      <c r="M75" s="197"/>
    </row>
    <row r="76" spans="1:13" ht="12.75">
      <c r="A76" s="118"/>
      <c r="B76" s="187"/>
      <c r="C76" s="187"/>
      <c r="D76" s="187"/>
      <c r="E76" s="187"/>
      <c r="F76" s="108"/>
      <c r="G76" s="108"/>
      <c r="H76" s="108"/>
      <c r="I76" s="108"/>
      <c r="J76" s="119"/>
      <c r="K76" s="119"/>
      <c r="L76" s="197"/>
      <c r="M76" s="197"/>
    </row>
    <row r="77" spans="1:13" ht="12.75">
      <c r="A77" s="118"/>
      <c r="B77" s="187"/>
      <c r="C77" s="187"/>
      <c r="D77" s="187"/>
      <c r="E77" s="187"/>
      <c r="F77" s="108"/>
      <c r="G77" s="108"/>
      <c r="H77" s="108"/>
      <c r="I77" s="108"/>
      <c r="J77" s="119"/>
      <c r="K77" s="119"/>
      <c r="L77" s="197"/>
      <c r="M77" s="197"/>
    </row>
    <row r="78" spans="1:13" ht="12.75">
      <c r="A78" s="118"/>
      <c r="B78" s="187"/>
      <c r="C78" s="187"/>
      <c r="D78" s="187"/>
      <c r="E78" s="187"/>
      <c r="F78" s="108"/>
      <c r="G78" s="108"/>
      <c r="H78" s="108"/>
      <c r="I78" s="108"/>
      <c r="J78" s="119"/>
      <c r="K78" s="119"/>
      <c r="L78" s="197"/>
      <c r="M78" s="197"/>
    </row>
    <row r="79" spans="1:13" ht="12.75">
      <c r="A79" s="118"/>
      <c r="B79" s="187"/>
      <c r="C79" s="187"/>
      <c r="D79" s="187"/>
      <c r="E79" s="187"/>
      <c r="F79" s="108"/>
      <c r="G79" s="108"/>
      <c r="H79" s="108"/>
      <c r="I79" s="108"/>
      <c r="J79" s="119"/>
      <c r="K79" s="119"/>
      <c r="L79" s="197"/>
      <c r="M79" s="197"/>
    </row>
    <row r="80" spans="1:13" ht="12.75">
      <c r="A80" s="118"/>
      <c r="B80" s="187"/>
      <c r="C80" s="187"/>
      <c r="D80" s="187"/>
      <c r="E80" s="187"/>
      <c r="F80" s="108"/>
      <c r="G80" s="108"/>
      <c r="H80" s="108"/>
      <c r="I80" s="108"/>
      <c r="J80" s="119"/>
      <c r="K80" s="119"/>
      <c r="L80" s="197"/>
      <c r="M80" s="197"/>
    </row>
    <row r="81" spans="1:13" ht="12.75">
      <c r="A81" s="118"/>
      <c r="B81" s="187"/>
      <c r="C81" s="187"/>
      <c r="D81" s="187"/>
      <c r="E81" s="187"/>
      <c r="F81" s="108"/>
      <c r="G81" s="108"/>
      <c r="H81" s="108"/>
      <c r="I81" s="108"/>
      <c r="J81" s="119"/>
      <c r="K81" s="119"/>
      <c r="L81" s="197"/>
      <c r="M81" s="197"/>
    </row>
    <row r="82" spans="1:13" ht="12.75">
      <c r="A82" s="118"/>
      <c r="B82" s="187"/>
      <c r="C82" s="187"/>
      <c r="D82" s="187"/>
      <c r="E82" s="187"/>
      <c r="F82" s="108"/>
      <c r="G82" s="108"/>
      <c r="H82" s="108"/>
      <c r="I82" s="108"/>
      <c r="J82" s="119"/>
      <c r="K82" s="119"/>
      <c r="L82" s="197"/>
      <c r="M82" s="197"/>
    </row>
    <row r="83" spans="1:13" ht="12.75">
      <c r="A83" s="118"/>
      <c r="B83" s="187"/>
      <c r="C83" s="187"/>
      <c r="D83" s="187"/>
      <c r="E83" s="187"/>
      <c r="F83" s="108"/>
      <c r="G83" s="108"/>
      <c r="H83" s="108"/>
      <c r="I83" s="108"/>
      <c r="J83" s="119"/>
      <c r="K83" s="119"/>
      <c r="L83" s="197"/>
      <c r="M83" s="197"/>
    </row>
    <row r="84" spans="1:13" ht="12.75">
      <c r="A84" s="118"/>
      <c r="B84" s="187"/>
      <c r="C84" s="187"/>
      <c r="D84" s="187"/>
      <c r="E84" s="187"/>
      <c r="F84" s="108"/>
      <c r="G84" s="108"/>
      <c r="H84" s="108"/>
      <c r="I84" s="108"/>
      <c r="J84" s="119"/>
      <c r="K84" s="119"/>
      <c r="L84" s="197"/>
      <c r="M84" s="197"/>
    </row>
    <row r="85" spans="1:13" ht="12.75">
      <c r="A85" s="118"/>
      <c r="B85" s="187"/>
      <c r="C85" s="187"/>
      <c r="D85" s="187"/>
      <c r="E85" s="187"/>
      <c r="F85" s="108"/>
      <c r="G85" s="108"/>
      <c r="H85" s="108"/>
      <c r="I85" s="108"/>
      <c r="J85" s="119"/>
      <c r="K85" s="119"/>
      <c r="L85" s="197"/>
      <c r="M85" s="197"/>
    </row>
    <row r="86" spans="1:13" ht="12.75">
      <c r="A86" s="118"/>
      <c r="B86" s="187"/>
      <c r="C86" s="187"/>
      <c r="D86" s="187"/>
      <c r="E86" s="187"/>
      <c r="F86" s="108"/>
      <c r="G86" s="108"/>
      <c r="H86" s="108"/>
      <c r="I86" s="108"/>
      <c r="J86" s="119"/>
      <c r="K86" s="119"/>
      <c r="L86" s="197"/>
      <c r="M86" s="197"/>
    </row>
    <row r="87" spans="1:13" ht="12.75">
      <c r="A87" s="118"/>
      <c r="B87" s="187"/>
      <c r="C87" s="187"/>
      <c r="D87" s="187"/>
      <c r="E87" s="187"/>
      <c r="F87" s="108"/>
      <c r="G87" s="108"/>
      <c r="H87" s="108"/>
      <c r="I87" s="108"/>
      <c r="J87" s="119"/>
      <c r="K87" s="119"/>
      <c r="L87" s="197"/>
      <c r="M87" s="197"/>
    </row>
    <row r="88" spans="1:13" ht="12.75">
      <c r="A88" s="118"/>
      <c r="B88" s="187"/>
      <c r="C88" s="187"/>
      <c r="D88" s="187"/>
      <c r="E88" s="187"/>
      <c r="F88" s="108"/>
      <c r="G88" s="108"/>
      <c r="H88" s="108"/>
      <c r="I88" s="108"/>
      <c r="J88" s="119"/>
      <c r="K88" s="119"/>
      <c r="L88" s="197"/>
      <c r="M88" s="197"/>
    </row>
    <row r="89" spans="1:13" ht="12.75">
      <c r="A89" s="118"/>
      <c r="B89" s="187"/>
      <c r="C89" s="187"/>
      <c r="D89" s="187"/>
      <c r="E89" s="187"/>
      <c r="F89" s="108"/>
      <c r="G89" s="108"/>
      <c r="H89" s="108"/>
      <c r="I89" s="108"/>
      <c r="J89" s="119"/>
      <c r="K89" s="119"/>
      <c r="L89" s="197"/>
      <c r="M89" s="197"/>
    </row>
    <row r="90" spans="1:13" ht="12.75">
      <c r="A90" s="118"/>
      <c r="B90" s="187"/>
      <c r="C90" s="187"/>
      <c r="D90" s="187"/>
      <c r="E90" s="187"/>
      <c r="F90" s="108"/>
      <c r="G90" s="108"/>
      <c r="H90" s="108"/>
      <c r="I90" s="108"/>
      <c r="J90" s="119"/>
      <c r="K90" s="119"/>
      <c r="L90" s="197"/>
      <c r="M90" s="197"/>
    </row>
    <row r="91" spans="1:13" ht="12.75">
      <c r="A91" s="118"/>
      <c r="B91" s="187"/>
      <c r="C91" s="187"/>
      <c r="D91" s="187"/>
      <c r="E91" s="187"/>
      <c r="F91" s="108"/>
      <c r="G91" s="108"/>
      <c r="H91" s="108"/>
      <c r="I91" s="108"/>
      <c r="J91" s="119"/>
      <c r="K91" s="119"/>
      <c r="L91" s="197"/>
      <c r="M91" s="197"/>
    </row>
    <row r="92" spans="1:13" ht="12.75">
      <c r="A92" s="118"/>
      <c r="B92" s="187"/>
      <c r="C92" s="187"/>
      <c r="D92" s="187"/>
      <c r="E92" s="187"/>
      <c r="F92" s="108"/>
      <c r="G92" s="108"/>
      <c r="H92" s="108"/>
      <c r="I92" s="108"/>
      <c r="J92" s="119"/>
      <c r="K92" s="119"/>
      <c r="L92" s="197"/>
      <c r="M92" s="197"/>
    </row>
    <row r="93" spans="1:13" ht="12.75">
      <c r="A93" s="118"/>
      <c r="B93" s="187"/>
      <c r="C93" s="187"/>
      <c r="D93" s="187"/>
      <c r="E93" s="187"/>
      <c r="F93" s="108"/>
      <c r="G93" s="108"/>
      <c r="H93" s="108"/>
      <c r="I93" s="108"/>
      <c r="J93" s="119"/>
      <c r="K93" s="119"/>
      <c r="L93" s="197"/>
      <c r="M93" s="197"/>
    </row>
    <row r="94" spans="1:13" ht="12.75">
      <c r="A94" s="118"/>
      <c r="B94" s="187"/>
      <c r="C94" s="187"/>
      <c r="D94" s="187"/>
      <c r="E94" s="187"/>
      <c r="F94" s="108"/>
      <c r="G94" s="108"/>
      <c r="H94" s="108"/>
      <c r="I94" s="108"/>
      <c r="J94" s="119"/>
      <c r="K94" s="119"/>
      <c r="L94" s="197"/>
      <c r="M94" s="197"/>
    </row>
    <row r="95" spans="1:13" ht="12.75">
      <c r="A95" s="118"/>
      <c r="B95" s="187"/>
      <c r="C95" s="187"/>
      <c r="D95" s="187"/>
      <c r="E95" s="187"/>
      <c r="F95" s="108"/>
      <c r="G95" s="108"/>
      <c r="H95" s="108"/>
      <c r="I95" s="108"/>
      <c r="J95" s="119"/>
      <c r="K95" s="119"/>
      <c r="L95" s="197"/>
      <c r="M95" s="197"/>
    </row>
    <row r="96" spans="1:13" ht="12.75">
      <c r="A96" s="118"/>
      <c r="B96" s="187"/>
      <c r="C96" s="187"/>
      <c r="D96" s="187"/>
      <c r="E96" s="187"/>
      <c r="F96" s="108"/>
      <c r="G96" s="108"/>
      <c r="H96" s="108"/>
      <c r="I96" s="108"/>
      <c r="J96" s="119"/>
      <c r="K96" s="119"/>
      <c r="L96" s="197"/>
      <c r="M96" s="197"/>
    </row>
    <row r="97" spans="1:13" ht="12.75">
      <c r="A97" s="118"/>
      <c r="B97" s="187"/>
      <c r="C97" s="187"/>
      <c r="D97" s="187"/>
      <c r="E97" s="187"/>
      <c r="F97" s="108"/>
      <c r="G97" s="108"/>
      <c r="H97" s="108"/>
      <c r="I97" s="108"/>
      <c r="J97" s="119"/>
      <c r="K97" s="119"/>
      <c r="L97" s="197"/>
      <c r="M97" s="197"/>
    </row>
    <row r="98" spans="1:13" ht="12.75">
      <c r="A98" s="118"/>
      <c r="B98" s="187"/>
      <c r="C98" s="187"/>
      <c r="D98" s="187"/>
      <c r="E98" s="187"/>
      <c r="F98" s="108"/>
      <c r="G98" s="108"/>
      <c r="H98" s="108"/>
      <c r="I98" s="108"/>
      <c r="J98" s="119"/>
      <c r="K98" s="119"/>
      <c r="L98" s="197"/>
      <c r="M98" s="197"/>
    </row>
    <row r="99" spans="1:13" ht="12.75">
      <c r="A99" s="118"/>
      <c r="B99" s="187"/>
      <c r="C99" s="187"/>
      <c r="D99" s="187"/>
      <c r="E99" s="187"/>
      <c r="F99" s="108"/>
      <c r="G99" s="108"/>
      <c r="H99" s="108"/>
      <c r="I99" s="108"/>
      <c r="J99" s="119"/>
      <c r="K99" s="119"/>
      <c r="L99" s="197"/>
      <c r="M99" s="197"/>
    </row>
    <row r="100" spans="1:13" ht="12.75">
      <c r="A100" s="118"/>
      <c r="B100" s="187"/>
      <c r="C100" s="187"/>
      <c r="D100" s="187"/>
      <c r="E100" s="187"/>
      <c r="F100" s="108"/>
      <c r="G100" s="108"/>
      <c r="H100" s="108"/>
      <c r="I100" s="108"/>
      <c r="J100" s="119"/>
      <c r="K100" s="119"/>
      <c r="L100" s="197"/>
      <c r="M100" s="197"/>
    </row>
    <row r="101" spans="1:13" ht="12.75">
      <c r="A101" s="118"/>
      <c r="B101" s="187"/>
      <c r="C101" s="187"/>
      <c r="D101" s="187"/>
      <c r="E101" s="187"/>
      <c r="F101" s="108"/>
      <c r="G101" s="108"/>
      <c r="H101" s="108"/>
      <c r="I101" s="108"/>
      <c r="J101" s="119"/>
      <c r="K101" s="119"/>
      <c r="L101" s="197"/>
      <c r="M101" s="197"/>
    </row>
    <row r="102" spans="1:13" ht="12.75">
      <c r="A102" s="118"/>
      <c r="B102" s="187"/>
      <c r="C102" s="187"/>
      <c r="D102" s="187"/>
      <c r="E102" s="187"/>
      <c r="F102" s="108"/>
      <c r="G102" s="108"/>
      <c r="H102" s="108"/>
      <c r="I102" s="108"/>
      <c r="J102" s="119"/>
      <c r="K102" s="119"/>
      <c r="L102" s="197"/>
      <c r="M102" s="197"/>
    </row>
    <row r="103" spans="1:13" ht="12.75">
      <c r="A103" s="118"/>
      <c r="B103" s="187"/>
      <c r="C103" s="187"/>
      <c r="D103" s="187"/>
      <c r="E103" s="187"/>
      <c r="F103" s="108"/>
      <c r="G103" s="108"/>
      <c r="H103" s="108"/>
      <c r="I103" s="108"/>
      <c r="J103" s="119"/>
      <c r="K103" s="119"/>
      <c r="L103" s="197"/>
      <c r="M103" s="197"/>
    </row>
    <row r="104" spans="1:13" ht="12.75">
      <c r="A104" s="118"/>
      <c r="B104" s="187"/>
      <c r="C104" s="187"/>
      <c r="D104" s="187"/>
      <c r="E104" s="187"/>
      <c r="F104" s="108"/>
      <c r="G104" s="108"/>
      <c r="H104" s="108"/>
      <c r="I104" s="108"/>
      <c r="J104" s="119"/>
      <c r="K104" s="119"/>
      <c r="L104" s="197"/>
      <c r="M104" s="197"/>
    </row>
    <row r="105" spans="1:13" ht="12.75">
      <c r="A105" s="118"/>
      <c r="B105" s="187"/>
      <c r="C105" s="187"/>
      <c r="D105" s="187"/>
      <c r="E105" s="187"/>
      <c r="F105" s="108"/>
      <c r="G105" s="108"/>
      <c r="H105" s="108"/>
      <c r="I105" s="108"/>
      <c r="J105" s="119"/>
      <c r="K105" s="119"/>
      <c r="L105" s="197"/>
      <c r="M105" s="197"/>
    </row>
    <row r="106" spans="1:13" ht="12.75">
      <c r="A106" s="118"/>
      <c r="B106" s="187"/>
      <c r="C106" s="187"/>
      <c r="D106" s="187"/>
      <c r="E106" s="187"/>
      <c r="F106" s="108"/>
      <c r="G106" s="108"/>
      <c r="H106" s="108"/>
      <c r="I106" s="108"/>
      <c r="J106" s="119"/>
      <c r="K106" s="119"/>
      <c r="L106" s="197"/>
      <c r="M106" s="197"/>
    </row>
    <row r="107" spans="1:13" ht="12.75">
      <c r="A107" s="118"/>
      <c r="B107" s="187"/>
      <c r="C107" s="187"/>
      <c r="D107" s="187"/>
      <c r="E107" s="187"/>
      <c r="F107" s="108"/>
      <c r="G107" s="108"/>
      <c r="H107" s="108"/>
      <c r="I107" s="108"/>
      <c r="J107" s="119"/>
      <c r="K107" s="119"/>
      <c r="L107" s="197"/>
      <c r="M107" s="197"/>
    </row>
    <row r="108" spans="1:13" ht="12.75">
      <c r="A108" s="118"/>
      <c r="B108" s="187"/>
      <c r="C108" s="187"/>
      <c r="D108" s="187"/>
      <c r="E108" s="187"/>
      <c r="F108" s="108"/>
      <c r="G108" s="108"/>
      <c r="H108" s="108"/>
      <c r="I108" s="108"/>
      <c r="J108" s="119"/>
      <c r="K108" s="119"/>
      <c r="L108" s="197"/>
      <c r="M108" s="197"/>
    </row>
    <row r="109" spans="1:13" ht="12.75">
      <c r="A109" s="118"/>
      <c r="B109" s="187"/>
      <c r="C109" s="187"/>
      <c r="D109" s="187"/>
      <c r="E109" s="187"/>
      <c r="F109" s="108"/>
      <c r="G109" s="108"/>
      <c r="H109" s="108"/>
      <c r="I109" s="108"/>
      <c r="J109" s="119"/>
      <c r="K109" s="119"/>
      <c r="L109" s="197"/>
      <c r="M109" s="197"/>
    </row>
    <row r="110" spans="1:13" ht="12.75">
      <c r="A110" s="118"/>
      <c r="B110" s="187"/>
      <c r="C110" s="187"/>
      <c r="D110" s="187"/>
      <c r="E110" s="187"/>
      <c r="F110" s="108"/>
      <c r="G110" s="108"/>
      <c r="H110" s="108"/>
      <c r="I110" s="108"/>
      <c r="J110" s="119"/>
      <c r="K110" s="119"/>
      <c r="L110" s="197"/>
      <c r="M110" s="197"/>
    </row>
    <row r="111" spans="1:13" ht="12.75">
      <c r="A111" s="118"/>
      <c r="B111" s="187"/>
      <c r="C111" s="187"/>
      <c r="D111" s="187"/>
      <c r="E111" s="187"/>
      <c r="F111" s="108"/>
      <c r="G111" s="108"/>
      <c r="H111" s="108"/>
      <c r="I111" s="108"/>
      <c r="J111" s="119"/>
      <c r="K111" s="119"/>
      <c r="L111" s="197"/>
      <c r="M111" s="197"/>
    </row>
    <row r="112" spans="1:13" ht="12.75">
      <c r="A112" s="118"/>
      <c r="B112" s="187"/>
      <c r="C112" s="187"/>
      <c r="D112" s="187"/>
      <c r="E112" s="187"/>
      <c r="F112" s="108"/>
      <c r="G112" s="108"/>
      <c r="H112" s="108"/>
      <c r="I112" s="108"/>
      <c r="J112" s="119"/>
      <c r="K112" s="119"/>
      <c r="L112" s="197"/>
      <c r="M112" s="197"/>
    </row>
    <row r="113" spans="1:13" ht="12.75">
      <c r="A113" s="118"/>
      <c r="B113" s="187"/>
      <c r="C113" s="187"/>
      <c r="D113" s="187"/>
      <c r="E113" s="187"/>
      <c r="F113" s="108"/>
      <c r="G113" s="108"/>
      <c r="H113" s="108"/>
      <c r="I113" s="108"/>
      <c r="J113" s="119"/>
      <c r="K113" s="119"/>
      <c r="L113" s="197"/>
      <c r="M113" s="197"/>
    </row>
    <row r="114" spans="1:13" ht="12.75">
      <c r="A114" s="118"/>
      <c r="B114" s="187"/>
      <c r="C114" s="187"/>
      <c r="D114" s="187"/>
      <c r="E114" s="187"/>
      <c r="F114" s="108"/>
      <c r="G114" s="108"/>
      <c r="H114" s="108"/>
      <c r="I114" s="108"/>
      <c r="J114" s="119"/>
      <c r="K114" s="119"/>
      <c r="L114" s="197"/>
      <c r="M114" s="197"/>
    </row>
    <row r="115" spans="1:13" ht="12.75">
      <c r="A115" s="118"/>
      <c r="B115" s="187"/>
      <c r="C115" s="187"/>
      <c r="D115" s="187"/>
      <c r="E115" s="187"/>
      <c r="F115" s="108"/>
      <c r="G115" s="108"/>
      <c r="H115" s="108"/>
      <c r="I115" s="108"/>
      <c r="J115" s="119"/>
      <c r="K115" s="119"/>
      <c r="L115" s="197"/>
      <c r="M115" s="197"/>
    </row>
    <row r="116" spans="1:13" ht="12.75">
      <c r="A116" s="118"/>
      <c r="B116" s="187"/>
      <c r="C116" s="187"/>
      <c r="D116" s="187"/>
      <c r="E116" s="187"/>
      <c r="F116" s="108"/>
      <c r="G116" s="108"/>
      <c r="H116" s="108"/>
      <c r="I116" s="108"/>
      <c r="J116" s="119"/>
      <c r="K116" s="119"/>
      <c r="L116" s="197"/>
      <c r="M116" s="197"/>
    </row>
    <row r="117" spans="1:13" ht="12.75">
      <c r="A117" s="118"/>
      <c r="B117" s="187"/>
      <c r="C117" s="187"/>
      <c r="D117" s="187"/>
      <c r="E117" s="187"/>
      <c r="F117" s="108"/>
      <c r="G117" s="108"/>
      <c r="H117" s="108"/>
      <c r="I117" s="108"/>
      <c r="J117" s="119"/>
      <c r="K117" s="119"/>
      <c r="L117" s="197"/>
      <c r="M117" s="197"/>
    </row>
    <row r="118" spans="1:13" ht="12.75">
      <c r="A118" s="118"/>
      <c r="B118" s="187"/>
      <c r="C118" s="187"/>
      <c r="D118" s="187"/>
      <c r="E118" s="187"/>
      <c r="F118" s="108"/>
      <c r="G118" s="108"/>
      <c r="H118" s="108"/>
      <c r="I118" s="108"/>
      <c r="J118" s="119"/>
      <c r="K118" s="119"/>
      <c r="L118" s="197"/>
      <c r="M118" s="197"/>
    </row>
    <row r="119" spans="1:13" ht="12.75">
      <c r="A119" s="118"/>
      <c r="B119" s="187"/>
      <c r="C119" s="187"/>
      <c r="D119" s="187"/>
      <c r="E119" s="187"/>
      <c r="F119" s="108"/>
      <c r="G119" s="108"/>
      <c r="H119" s="108"/>
      <c r="I119" s="108"/>
      <c r="J119" s="119"/>
      <c r="K119" s="119"/>
      <c r="L119" s="197"/>
      <c r="M119" s="197"/>
    </row>
    <row r="120" spans="1:13" ht="12.75">
      <c r="A120" s="118"/>
      <c r="B120" s="187"/>
      <c r="C120" s="187"/>
      <c r="D120" s="187"/>
      <c r="E120" s="187"/>
      <c r="F120" s="108"/>
      <c r="G120" s="108"/>
      <c r="H120" s="108"/>
      <c r="I120" s="108"/>
      <c r="J120" s="119"/>
      <c r="K120" s="119"/>
      <c r="L120" s="197"/>
      <c r="M120" s="197"/>
    </row>
    <row r="121" spans="1:13" ht="12.75">
      <c r="A121" s="118"/>
      <c r="B121" s="187"/>
      <c r="C121" s="187"/>
      <c r="D121" s="187"/>
      <c r="E121" s="187"/>
      <c r="F121" s="108"/>
      <c r="G121" s="108"/>
      <c r="H121" s="108"/>
      <c r="I121" s="108"/>
      <c r="J121" s="119"/>
      <c r="K121" s="119"/>
      <c r="L121" s="197"/>
      <c r="M121" s="197"/>
    </row>
    <row r="122" spans="1:13" ht="12.75">
      <c r="A122" s="118"/>
      <c r="B122" s="187"/>
      <c r="C122" s="187"/>
      <c r="D122" s="187"/>
      <c r="E122" s="187"/>
      <c r="F122" s="108"/>
      <c r="G122" s="108"/>
      <c r="H122" s="108"/>
      <c r="I122" s="108"/>
      <c r="J122" s="119"/>
      <c r="K122" s="119"/>
      <c r="L122" s="197"/>
      <c r="M122" s="197"/>
    </row>
    <row r="123" spans="1:13" ht="12.75">
      <c r="A123" s="118"/>
      <c r="B123" s="187"/>
      <c r="C123" s="187"/>
      <c r="D123" s="187"/>
      <c r="E123" s="187"/>
      <c r="F123" s="108"/>
      <c r="G123" s="108"/>
      <c r="H123" s="108"/>
      <c r="I123" s="108"/>
      <c r="J123" s="119"/>
      <c r="K123" s="119"/>
      <c r="L123" s="197"/>
      <c r="M123" s="197"/>
    </row>
    <row r="124" spans="1:13" ht="12.75">
      <c r="A124" s="118"/>
      <c r="B124" s="187"/>
      <c r="C124" s="187"/>
      <c r="D124" s="187"/>
      <c r="E124" s="187"/>
      <c r="F124" s="108"/>
      <c r="G124" s="108"/>
      <c r="H124" s="108"/>
      <c r="I124" s="108"/>
      <c r="J124" s="119"/>
      <c r="K124" s="119"/>
      <c r="L124" s="197"/>
      <c r="M124" s="197"/>
    </row>
    <row r="125" spans="1:13" ht="12.75">
      <c r="A125" s="118"/>
      <c r="B125" s="187"/>
      <c r="C125" s="187"/>
      <c r="D125" s="187"/>
      <c r="E125" s="187"/>
      <c r="F125" s="108"/>
      <c r="G125" s="108"/>
      <c r="H125" s="108"/>
      <c r="I125" s="108"/>
      <c r="J125" s="119"/>
      <c r="K125" s="119"/>
      <c r="L125" s="197"/>
      <c r="M125" s="197"/>
    </row>
    <row r="126" spans="1:13" ht="12.75">
      <c r="A126" s="118"/>
      <c r="B126" s="187"/>
      <c r="C126" s="187"/>
      <c r="D126" s="187"/>
      <c r="E126" s="187"/>
      <c r="F126" s="108"/>
      <c r="G126" s="108"/>
      <c r="H126" s="108"/>
      <c r="I126" s="108"/>
      <c r="J126" s="119"/>
      <c r="K126" s="119"/>
      <c r="L126" s="197"/>
      <c r="M126" s="197"/>
    </row>
    <row r="127" spans="1:13" ht="12.75">
      <c r="A127" s="118"/>
      <c r="B127" s="187"/>
      <c r="C127" s="187"/>
      <c r="D127" s="187"/>
      <c r="E127" s="187"/>
      <c r="F127" s="108"/>
      <c r="G127" s="108"/>
      <c r="H127" s="108"/>
      <c r="I127" s="108"/>
      <c r="J127" s="119"/>
      <c r="K127" s="119"/>
      <c r="L127" s="197"/>
      <c r="M127" s="197"/>
    </row>
    <row r="128" spans="1:13" ht="12.75">
      <c r="A128" s="118"/>
      <c r="B128" s="187"/>
      <c r="C128" s="187"/>
      <c r="D128" s="187"/>
      <c r="E128" s="187"/>
      <c r="F128" s="108"/>
      <c r="G128" s="108"/>
      <c r="H128" s="108"/>
      <c r="I128" s="108"/>
      <c r="J128" s="119"/>
      <c r="K128" s="119"/>
      <c r="L128" s="197"/>
      <c r="M128" s="197"/>
    </row>
    <row r="129" spans="1:13" ht="12.75">
      <c r="A129" s="118"/>
      <c r="B129" s="187"/>
      <c r="C129" s="187"/>
      <c r="D129" s="187"/>
      <c r="E129" s="187"/>
      <c r="F129" s="108"/>
      <c r="G129" s="108"/>
      <c r="H129" s="108"/>
      <c r="I129" s="108"/>
      <c r="J129" s="119"/>
      <c r="K129" s="119"/>
      <c r="L129" s="197"/>
      <c r="M129" s="197"/>
    </row>
    <row r="130" spans="1:13" ht="12.75">
      <c r="A130" s="118"/>
      <c r="B130" s="187"/>
      <c r="C130" s="187"/>
      <c r="D130" s="187"/>
      <c r="E130" s="187"/>
      <c r="F130" s="108"/>
      <c r="G130" s="108"/>
      <c r="H130" s="108"/>
      <c r="I130" s="108"/>
      <c r="J130" s="119"/>
      <c r="K130" s="119"/>
      <c r="L130" s="197"/>
      <c r="M130" s="197"/>
    </row>
    <row r="131" spans="1:13" ht="12.75">
      <c r="A131" s="118"/>
      <c r="B131" s="187"/>
      <c r="C131" s="187"/>
      <c r="D131" s="187"/>
      <c r="E131" s="187"/>
      <c r="F131" s="108"/>
      <c r="G131" s="108"/>
      <c r="H131" s="108"/>
      <c r="I131" s="108"/>
      <c r="J131" s="119"/>
      <c r="K131" s="119"/>
      <c r="L131" s="197"/>
      <c r="M131" s="197"/>
    </row>
    <row r="132" spans="1:13" ht="12.75">
      <c r="A132" s="118"/>
      <c r="B132" s="187"/>
      <c r="C132" s="187"/>
      <c r="D132" s="187"/>
      <c r="E132" s="187"/>
      <c r="F132" s="108"/>
      <c r="G132" s="108"/>
      <c r="H132" s="108"/>
      <c r="I132" s="108"/>
      <c r="J132" s="119"/>
      <c r="K132" s="119"/>
      <c r="L132" s="197"/>
      <c r="M132" s="197"/>
    </row>
    <row r="133" spans="1:13" ht="12.75">
      <c r="A133" s="118"/>
      <c r="B133" s="187"/>
      <c r="C133" s="187"/>
      <c r="D133" s="187"/>
      <c r="E133" s="187"/>
      <c r="F133" s="108"/>
      <c r="G133" s="108"/>
      <c r="H133" s="108"/>
      <c r="I133" s="108"/>
      <c r="J133" s="119"/>
      <c r="K133" s="119"/>
      <c r="L133" s="197"/>
      <c r="M133" s="197"/>
    </row>
    <row r="134" spans="1:13" ht="12.75">
      <c r="A134" s="118"/>
      <c r="B134" s="187"/>
      <c r="C134" s="187"/>
      <c r="D134" s="187"/>
      <c r="E134" s="187"/>
      <c r="F134" s="108"/>
      <c r="G134" s="108"/>
      <c r="H134" s="108"/>
      <c r="I134" s="108"/>
      <c r="J134" s="119"/>
      <c r="K134" s="119"/>
      <c r="L134" s="197"/>
      <c r="M134" s="197"/>
    </row>
    <row r="135" spans="1:13" ht="12.75">
      <c r="A135" s="118"/>
      <c r="B135" s="187"/>
      <c r="C135" s="187"/>
      <c r="D135" s="187"/>
      <c r="E135" s="187"/>
      <c r="F135" s="108"/>
      <c r="G135" s="108"/>
      <c r="H135" s="108"/>
      <c r="I135" s="108"/>
      <c r="J135" s="119"/>
      <c r="K135" s="119"/>
      <c r="L135" s="197"/>
      <c r="M135" s="197"/>
    </row>
    <row r="136" spans="1:13" ht="12.75">
      <c r="A136" s="118"/>
      <c r="B136" s="187"/>
      <c r="C136" s="187"/>
      <c r="D136" s="187"/>
      <c r="E136" s="187"/>
      <c r="F136" s="108"/>
      <c r="G136" s="108"/>
      <c r="H136" s="108"/>
      <c r="I136" s="108"/>
      <c r="J136" s="119"/>
      <c r="K136" s="119"/>
      <c r="L136" s="197"/>
      <c r="M136" s="197"/>
    </row>
    <row r="137" spans="1:13" ht="12.75">
      <c r="A137" s="118"/>
      <c r="B137" s="187"/>
      <c r="C137" s="187"/>
      <c r="D137" s="187"/>
      <c r="E137" s="187"/>
      <c r="F137" s="108"/>
      <c r="G137" s="108"/>
      <c r="H137" s="108"/>
      <c r="I137" s="108"/>
      <c r="J137" s="119"/>
      <c r="K137" s="119"/>
      <c r="L137" s="197"/>
      <c r="M137" s="197"/>
    </row>
    <row r="138" spans="1:13" ht="12.75">
      <c r="A138" s="118"/>
      <c r="B138" s="187"/>
      <c r="C138" s="187"/>
      <c r="D138" s="187"/>
      <c r="E138" s="187"/>
      <c r="F138" s="108"/>
      <c r="G138" s="108"/>
      <c r="H138" s="108"/>
      <c r="I138" s="108"/>
      <c r="J138" s="119"/>
      <c r="K138" s="119"/>
      <c r="L138" s="197"/>
      <c r="M138" s="197"/>
    </row>
    <row r="139" spans="1:13" ht="12.75">
      <c r="A139" s="118"/>
      <c r="B139" s="187"/>
      <c r="C139" s="187"/>
      <c r="D139" s="187"/>
      <c r="E139" s="187"/>
      <c r="F139" s="108"/>
      <c r="G139" s="108"/>
      <c r="H139" s="108"/>
      <c r="I139" s="108"/>
      <c r="J139" s="119"/>
      <c r="K139" s="119"/>
      <c r="L139" s="197"/>
      <c r="M139" s="197"/>
    </row>
    <row r="140" spans="1:13" ht="12.75">
      <c r="A140" s="118"/>
      <c r="B140" s="187"/>
      <c r="C140" s="187"/>
      <c r="D140" s="187"/>
      <c r="E140" s="187"/>
      <c r="F140" s="108"/>
      <c r="G140" s="108"/>
      <c r="H140" s="108"/>
      <c r="I140" s="108"/>
      <c r="J140" s="119"/>
      <c r="K140" s="119"/>
      <c r="L140" s="197"/>
      <c r="M140" s="197"/>
    </row>
    <row r="141" spans="1:13" ht="12.75">
      <c r="A141" s="118"/>
      <c r="B141" s="187"/>
      <c r="C141" s="187"/>
      <c r="D141" s="187"/>
      <c r="E141" s="187"/>
      <c r="F141" s="108"/>
      <c r="G141" s="108"/>
      <c r="H141" s="108"/>
      <c r="I141" s="108"/>
      <c r="J141" s="119"/>
      <c r="K141" s="119"/>
      <c r="L141" s="197"/>
      <c r="M141" s="197"/>
    </row>
    <row r="142" spans="1:13" ht="12.75">
      <c r="A142" s="118"/>
      <c r="B142" s="187"/>
      <c r="C142" s="187"/>
      <c r="D142" s="187"/>
      <c r="E142" s="187"/>
      <c r="F142" s="108"/>
      <c r="G142" s="108"/>
      <c r="H142" s="108"/>
      <c r="I142" s="108"/>
      <c r="J142" s="119"/>
      <c r="K142" s="119"/>
      <c r="L142" s="197"/>
      <c r="M142" s="197"/>
    </row>
    <row r="143" spans="1:13" ht="12.75">
      <c r="A143" s="118"/>
      <c r="B143" s="187"/>
      <c r="C143" s="187"/>
      <c r="D143" s="187"/>
      <c r="E143" s="187"/>
      <c r="F143" s="108"/>
      <c r="G143" s="108"/>
      <c r="H143" s="108"/>
      <c r="I143" s="108"/>
      <c r="J143" s="119"/>
      <c r="K143" s="119"/>
      <c r="L143" s="197"/>
      <c r="M143" s="197"/>
    </row>
    <row r="144" spans="1:13" ht="12.75">
      <c r="A144" s="118"/>
      <c r="B144" s="187"/>
      <c r="C144" s="187"/>
      <c r="D144" s="187"/>
      <c r="E144" s="187"/>
      <c r="F144" s="108"/>
      <c r="G144" s="108"/>
      <c r="H144" s="108"/>
      <c r="I144" s="108"/>
      <c r="J144" s="119"/>
      <c r="K144" s="119"/>
      <c r="L144" s="197"/>
      <c r="M144" s="197"/>
    </row>
    <row r="145" spans="1:13" ht="12.75">
      <c r="A145" s="118"/>
      <c r="B145" s="187"/>
      <c r="C145" s="187"/>
      <c r="D145" s="187"/>
      <c r="E145" s="187"/>
      <c r="F145" s="108"/>
      <c r="G145" s="108"/>
      <c r="H145" s="108"/>
      <c r="I145" s="108"/>
      <c r="J145" s="119"/>
      <c r="K145" s="119"/>
      <c r="L145" s="197"/>
      <c r="M145" s="197"/>
    </row>
    <row r="146" spans="1:13" ht="12.75">
      <c r="A146" s="118"/>
      <c r="B146" s="187"/>
      <c r="C146" s="187"/>
      <c r="D146" s="187"/>
      <c r="E146" s="187"/>
      <c r="F146" s="108"/>
      <c r="G146" s="108"/>
      <c r="H146" s="108"/>
      <c r="I146" s="108"/>
      <c r="J146" s="119"/>
      <c r="K146" s="119"/>
      <c r="L146" s="197"/>
      <c r="M146" s="197"/>
    </row>
    <row r="147" spans="1:13" ht="12.75">
      <c r="A147" s="118"/>
      <c r="B147" s="187"/>
      <c r="C147" s="187"/>
      <c r="D147" s="187"/>
      <c r="E147" s="187"/>
      <c r="F147" s="108"/>
      <c r="G147" s="108"/>
      <c r="H147" s="108"/>
      <c r="I147" s="108"/>
      <c r="J147" s="119"/>
      <c r="K147" s="119"/>
      <c r="L147" s="197"/>
      <c r="M147" s="197"/>
    </row>
    <row r="148" spans="1:13" ht="12.75">
      <c r="A148" s="118"/>
      <c r="B148" s="187"/>
      <c r="C148" s="187"/>
      <c r="D148" s="187"/>
      <c r="E148" s="187"/>
      <c r="F148" s="108"/>
      <c r="G148" s="108"/>
      <c r="H148" s="108"/>
      <c r="I148" s="108"/>
      <c r="J148" s="119"/>
      <c r="K148" s="119"/>
      <c r="L148" s="197"/>
      <c r="M148" s="197"/>
    </row>
    <row r="149" spans="1:13" ht="12.75">
      <c r="A149" s="118"/>
      <c r="B149" s="187"/>
      <c r="C149" s="187"/>
      <c r="D149" s="187"/>
      <c r="E149" s="187"/>
      <c r="F149" s="108"/>
      <c r="G149" s="108"/>
      <c r="H149" s="108"/>
      <c r="I149" s="108"/>
      <c r="J149" s="119"/>
      <c r="K149" s="119"/>
      <c r="L149" s="197"/>
      <c r="M149" s="197"/>
    </row>
    <row r="150" spans="1:13" ht="12.75">
      <c r="A150" s="118"/>
      <c r="B150" s="187"/>
      <c r="C150" s="187"/>
      <c r="D150" s="187"/>
      <c r="E150" s="187"/>
      <c r="F150" s="108"/>
      <c r="G150" s="108"/>
      <c r="H150" s="108"/>
      <c r="I150" s="108"/>
      <c r="J150" s="119"/>
      <c r="K150" s="119"/>
      <c r="L150" s="197"/>
      <c r="M150" s="197"/>
    </row>
    <row r="151" spans="1:13" ht="12.75">
      <c r="A151" s="118"/>
      <c r="B151" s="187"/>
      <c r="C151" s="187"/>
      <c r="D151" s="187"/>
      <c r="E151" s="187"/>
      <c r="F151" s="108"/>
      <c r="G151" s="108"/>
      <c r="H151" s="108"/>
      <c r="I151" s="108"/>
      <c r="J151" s="119"/>
      <c r="K151" s="119"/>
      <c r="L151" s="197"/>
      <c r="M151" s="197"/>
    </row>
    <row r="152" spans="1:13" ht="12.75">
      <c r="A152" s="118"/>
      <c r="B152" s="187"/>
      <c r="C152" s="187"/>
      <c r="D152" s="187"/>
      <c r="E152" s="187"/>
      <c r="F152" s="108"/>
      <c r="G152" s="108"/>
      <c r="H152" s="108"/>
      <c r="I152" s="108"/>
      <c r="J152" s="119"/>
      <c r="K152" s="119"/>
      <c r="L152" s="197"/>
      <c r="M152" s="197"/>
    </row>
    <row r="153" spans="1:13" ht="12.75">
      <c r="A153" s="118"/>
      <c r="B153" s="187"/>
      <c r="C153" s="187"/>
      <c r="D153" s="187"/>
      <c r="E153" s="187"/>
      <c r="F153" s="108"/>
      <c r="G153" s="108"/>
      <c r="H153" s="108"/>
      <c r="I153" s="108"/>
      <c r="J153" s="119"/>
      <c r="K153" s="119"/>
      <c r="L153" s="197"/>
      <c r="M153" s="197"/>
    </row>
    <row r="154" spans="1:13" ht="12.75">
      <c r="A154" s="118"/>
      <c r="B154" s="187"/>
      <c r="C154" s="187"/>
      <c r="D154" s="187"/>
      <c r="E154" s="187"/>
      <c r="F154" s="108"/>
      <c r="G154" s="108"/>
      <c r="H154" s="108"/>
      <c r="I154" s="108"/>
      <c r="J154" s="119"/>
      <c r="K154" s="119"/>
      <c r="L154" s="197"/>
      <c r="M154" s="197"/>
    </row>
    <row r="155" spans="1:13" ht="12.75">
      <c r="A155" s="118"/>
      <c r="B155" s="187"/>
      <c r="C155" s="187"/>
      <c r="D155" s="187"/>
      <c r="E155" s="187"/>
      <c r="F155" s="108"/>
      <c r="G155" s="108"/>
      <c r="H155" s="108"/>
      <c r="I155" s="108"/>
      <c r="J155" s="119"/>
      <c r="K155" s="119"/>
      <c r="L155" s="197"/>
      <c r="M155" s="197"/>
    </row>
    <row r="156" spans="1:13" ht="12.75">
      <c r="A156" s="118"/>
      <c r="B156" s="187"/>
      <c r="C156" s="187"/>
      <c r="D156" s="187"/>
      <c r="E156" s="187"/>
      <c r="F156" s="108"/>
      <c r="G156" s="108"/>
      <c r="H156" s="108"/>
      <c r="I156" s="108"/>
      <c r="J156" s="119"/>
      <c r="K156" s="119"/>
      <c r="L156" s="197"/>
      <c r="M156" s="197"/>
    </row>
    <row r="157" spans="1:13" ht="12.75">
      <c r="A157" s="118"/>
      <c r="B157" s="187"/>
      <c r="C157" s="187"/>
      <c r="D157" s="187"/>
      <c r="E157" s="187"/>
      <c r="F157" s="108"/>
      <c r="G157" s="108"/>
      <c r="H157" s="108"/>
      <c r="I157" s="108"/>
      <c r="J157" s="119"/>
      <c r="K157" s="119"/>
      <c r="L157" s="197"/>
      <c r="M157" s="197"/>
    </row>
    <row r="158" spans="1:13" ht="12.75">
      <c r="A158" s="118"/>
      <c r="B158" s="187"/>
      <c r="C158" s="187"/>
      <c r="D158" s="187"/>
      <c r="E158" s="187"/>
      <c r="F158" s="108"/>
      <c r="G158" s="108"/>
      <c r="H158" s="108"/>
      <c r="I158" s="108"/>
      <c r="J158" s="119"/>
      <c r="K158" s="119"/>
      <c r="L158" s="197"/>
      <c r="M158" s="197"/>
    </row>
    <row r="159" spans="1:13" ht="12.75">
      <c r="A159" s="118"/>
      <c r="B159" s="187"/>
      <c r="C159" s="187"/>
      <c r="D159" s="187"/>
      <c r="E159" s="187"/>
      <c r="F159" s="108"/>
      <c r="G159" s="108"/>
      <c r="H159" s="108"/>
      <c r="I159" s="108"/>
      <c r="J159" s="119"/>
      <c r="K159" s="119"/>
      <c r="L159" s="197"/>
      <c r="M159" s="197"/>
    </row>
    <row r="160" spans="1:13" ht="12.75">
      <c r="A160" s="118"/>
      <c r="B160" s="187"/>
      <c r="C160" s="187"/>
      <c r="D160" s="187"/>
      <c r="E160" s="187"/>
      <c r="F160" s="108"/>
      <c r="G160" s="108"/>
      <c r="H160" s="108"/>
      <c r="I160" s="108"/>
      <c r="J160" s="119"/>
      <c r="K160" s="119"/>
      <c r="L160" s="197"/>
      <c r="M160" s="197"/>
    </row>
    <row r="161" spans="1:13" ht="12.75">
      <c r="A161" s="118"/>
      <c r="B161" s="187"/>
      <c r="C161" s="187"/>
      <c r="D161" s="187"/>
      <c r="E161" s="187"/>
      <c r="F161" s="108"/>
      <c r="G161" s="108"/>
      <c r="H161" s="108"/>
      <c r="I161" s="108"/>
      <c r="J161" s="119"/>
      <c r="K161" s="119"/>
      <c r="L161" s="197"/>
      <c r="M161" s="197"/>
    </row>
    <row r="162" spans="1:13" ht="12.75">
      <c r="A162" s="118"/>
      <c r="B162" s="187"/>
      <c r="C162" s="187"/>
      <c r="D162" s="187"/>
      <c r="E162" s="187"/>
      <c r="F162" s="108"/>
      <c r="G162" s="108"/>
      <c r="H162" s="108"/>
      <c r="I162" s="108"/>
      <c r="J162" s="119"/>
      <c r="K162" s="119"/>
      <c r="L162" s="197"/>
      <c r="M162" s="197"/>
    </row>
    <row r="163" spans="1:13" ht="12.75">
      <c r="A163" s="118"/>
      <c r="B163" s="187"/>
      <c r="C163" s="187"/>
      <c r="D163" s="187"/>
      <c r="E163" s="187"/>
      <c r="F163" s="108"/>
      <c r="G163" s="108"/>
      <c r="H163" s="108"/>
      <c r="I163" s="108"/>
      <c r="J163" s="119"/>
      <c r="K163" s="119"/>
      <c r="L163" s="197"/>
      <c r="M163" s="197"/>
    </row>
    <row r="164" spans="1:13" ht="12.75">
      <c r="A164" s="118"/>
      <c r="B164" s="187"/>
      <c r="C164" s="187"/>
      <c r="D164" s="187"/>
      <c r="E164" s="187"/>
      <c r="F164" s="108"/>
      <c r="G164" s="108"/>
      <c r="H164" s="108"/>
      <c r="I164" s="108"/>
      <c r="J164" s="119"/>
      <c r="K164" s="119"/>
      <c r="L164" s="197"/>
      <c r="M164" s="197"/>
    </row>
    <row r="165" spans="1:13" ht="12.75">
      <c r="A165" s="118"/>
      <c r="B165" s="187"/>
      <c r="C165" s="187"/>
      <c r="D165" s="187"/>
      <c r="E165" s="187"/>
      <c r="F165" s="108"/>
      <c r="G165" s="108"/>
      <c r="H165" s="108"/>
      <c r="I165" s="108"/>
      <c r="J165" s="119"/>
      <c r="K165" s="119"/>
      <c r="L165" s="197"/>
      <c r="M165" s="197"/>
    </row>
    <row r="166" spans="1:13" ht="12.75">
      <c r="A166" s="118"/>
      <c r="B166" s="187"/>
      <c r="C166" s="187"/>
      <c r="D166" s="187"/>
      <c r="E166" s="187"/>
      <c r="F166" s="108"/>
      <c r="G166" s="108"/>
      <c r="H166" s="108"/>
      <c r="I166" s="108"/>
      <c r="J166" s="119"/>
      <c r="K166" s="119"/>
      <c r="L166" s="197"/>
      <c r="M166" s="197"/>
    </row>
    <row r="167" spans="1:13" ht="12.75">
      <c r="A167" s="118"/>
      <c r="B167" s="187"/>
      <c r="C167" s="187"/>
      <c r="D167" s="187"/>
      <c r="E167" s="187"/>
      <c r="F167" s="108"/>
      <c r="G167" s="108"/>
      <c r="H167" s="108"/>
      <c r="I167" s="108"/>
      <c r="J167" s="119"/>
      <c r="K167" s="119"/>
      <c r="L167" s="197"/>
      <c r="M167" s="197"/>
    </row>
    <row r="168" spans="1:13" ht="12.75">
      <c r="A168" s="118"/>
      <c r="B168" s="187"/>
      <c r="C168" s="187"/>
      <c r="D168" s="187"/>
      <c r="E168" s="187"/>
      <c r="F168" s="108"/>
      <c r="G168" s="108"/>
      <c r="H168" s="108"/>
      <c r="I168" s="108"/>
      <c r="J168" s="119"/>
      <c r="K168" s="119"/>
      <c r="L168" s="197"/>
      <c r="M168" s="197"/>
    </row>
    <row r="169" spans="1:13" ht="12.75">
      <c r="A169" s="118"/>
      <c r="B169" s="187"/>
      <c r="C169" s="187"/>
      <c r="D169" s="187"/>
      <c r="E169" s="187"/>
      <c r="F169" s="108"/>
      <c r="G169" s="108"/>
      <c r="H169" s="108"/>
      <c r="I169" s="108"/>
      <c r="J169" s="119"/>
      <c r="K169" s="119"/>
      <c r="L169" s="197"/>
      <c r="M169" s="197"/>
    </row>
    <row r="170" spans="1:13" ht="12.75">
      <c r="A170" s="118"/>
      <c r="B170" s="187"/>
      <c r="C170" s="187"/>
      <c r="D170" s="187"/>
      <c r="E170" s="187"/>
      <c r="F170" s="108"/>
      <c r="G170" s="108"/>
      <c r="H170" s="108"/>
      <c r="I170" s="108"/>
      <c r="J170" s="119"/>
      <c r="K170" s="119"/>
      <c r="L170" s="197"/>
      <c r="M170" s="197"/>
    </row>
    <row r="171" spans="1:13" ht="12.75">
      <c r="A171" s="118"/>
      <c r="B171" s="187"/>
      <c r="C171" s="187"/>
      <c r="D171" s="187"/>
      <c r="E171" s="187"/>
      <c r="F171" s="108"/>
      <c r="G171" s="108"/>
      <c r="H171" s="108"/>
      <c r="I171" s="108"/>
      <c r="J171" s="119"/>
      <c r="K171" s="119"/>
      <c r="L171" s="197"/>
      <c r="M171" s="197"/>
    </row>
    <row r="172" spans="1:13" ht="12.75">
      <c r="A172" s="118"/>
      <c r="B172" s="187"/>
      <c r="C172" s="187"/>
      <c r="D172" s="187"/>
      <c r="E172" s="187"/>
      <c r="F172" s="108"/>
      <c r="G172" s="108"/>
      <c r="H172" s="108"/>
      <c r="I172" s="108"/>
      <c r="J172" s="119"/>
      <c r="K172" s="119"/>
      <c r="L172" s="197"/>
      <c r="M172" s="197"/>
    </row>
    <row r="173" spans="1:13" ht="12.75">
      <c r="A173" s="118"/>
      <c r="B173" s="187"/>
      <c r="C173" s="187"/>
      <c r="D173" s="187"/>
      <c r="E173" s="187"/>
      <c r="F173" s="108"/>
      <c r="G173" s="108"/>
      <c r="H173" s="108"/>
      <c r="I173" s="108"/>
      <c r="J173" s="119"/>
      <c r="K173" s="119"/>
      <c r="L173" s="197"/>
      <c r="M173" s="197"/>
    </row>
    <row r="174" spans="1:13" ht="12.75">
      <c r="A174" s="118"/>
      <c r="B174" s="187"/>
      <c r="C174" s="187"/>
      <c r="D174" s="187"/>
      <c r="E174" s="187"/>
      <c r="F174" s="108"/>
      <c r="G174" s="108"/>
      <c r="H174" s="108"/>
      <c r="I174" s="108"/>
      <c r="J174" s="119"/>
      <c r="K174" s="119"/>
      <c r="L174" s="197"/>
      <c r="M174" s="197"/>
    </row>
    <row r="175" spans="1:13" ht="12.75">
      <c r="A175" s="118"/>
      <c r="B175" s="187"/>
      <c r="C175" s="187"/>
      <c r="D175" s="187"/>
      <c r="E175" s="187"/>
      <c r="F175" s="108"/>
      <c r="G175" s="108"/>
      <c r="H175" s="108"/>
      <c r="I175" s="108"/>
      <c r="J175" s="119"/>
      <c r="K175" s="119"/>
      <c r="L175" s="197"/>
      <c r="M175" s="197"/>
    </row>
    <row r="176" spans="1:13" ht="12.75">
      <c r="A176" s="118"/>
      <c r="B176" s="187"/>
      <c r="C176" s="187"/>
      <c r="D176" s="187"/>
      <c r="E176" s="187"/>
      <c r="F176" s="108"/>
      <c r="G176" s="108"/>
      <c r="H176" s="108"/>
      <c r="I176" s="108"/>
      <c r="J176" s="119"/>
      <c r="K176" s="119"/>
      <c r="L176" s="197"/>
      <c r="M176" s="197"/>
    </row>
    <row r="177" spans="1:13" ht="12.75">
      <c r="A177" s="118"/>
      <c r="B177" s="187"/>
      <c r="C177" s="187"/>
      <c r="D177" s="187"/>
      <c r="E177" s="187"/>
      <c r="F177" s="108"/>
      <c r="G177" s="108"/>
      <c r="H177" s="108"/>
      <c r="I177" s="108"/>
      <c r="J177" s="119"/>
      <c r="K177" s="119"/>
      <c r="L177" s="197"/>
      <c r="M177" s="197"/>
    </row>
    <row r="178" spans="1:13" ht="12.75">
      <c r="A178" s="118"/>
      <c r="B178" s="187"/>
      <c r="C178" s="187"/>
      <c r="D178" s="187"/>
      <c r="E178" s="187"/>
      <c r="F178" s="108"/>
      <c r="G178" s="108"/>
      <c r="H178" s="108"/>
      <c r="I178" s="108"/>
      <c r="J178" s="119"/>
      <c r="K178" s="119"/>
      <c r="L178" s="197"/>
      <c r="M178" s="197"/>
    </row>
    <row r="179" spans="1:13" ht="12.75">
      <c r="A179" s="118"/>
      <c r="B179" s="187"/>
      <c r="C179" s="187"/>
      <c r="D179" s="187"/>
      <c r="E179" s="187"/>
      <c r="F179" s="108"/>
      <c r="G179" s="108"/>
      <c r="H179" s="108"/>
      <c r="I179" s="108"/>
      <c r="J179" s="119"/>
      <c r="K179" s="119"/>
      <c r="L179" s="197"/>
      <c r="M179" s="197"/>
    </row>
    <row r="180" spans="1:13" ht="12.75">
      <c r="A180" s="118"/>
      <c r="B180" s="187"/>
      <c r="C180" s="187"/>
      <c r="D180" s="187"/>
      <c r="E180" s="187"/>
      <c r="F180" s="108"/>
      <c r="G180" s="108"/>
      <c r="H180" s="108"/>
      <c r="I180" s="108"/>
      <c r="J180" s="119"/>
      <c r="K180" s="119"/>
      <c r="L180" s="197"/>
      <c r="M180" s="197"/>
    </row>
    <row r="181" spans="1:13" ht="12.75">
      <c r="A181" s="118"/>
      <c r="B181" s="187"/>
      <c r="C181" s="187"/>
      <c r="D181" s="187"/>
      <c r="E181" s="187"/>
      <c r="F181" s="108"/>
      <c r="G181" s="108"/>
      <c r="H181" s="108"/>
      <c r="I181" s="108"/>
      <c r="J181" s="119"/>
      <c r="K181" s="119"/>
      <c r="L181" s="197"/>
      <c r="M181" s="197"/>
    </row>
    <row r="182" spans="1:13" ht="12.75">
      <c r="A182" s="118"/>
      <c r="B182" s="187"/>
      <c r="C182" s="187"/>
      <c r="D182" s="187"/>
      <c r="E182" s="187"/>
      <c r="F182" s="108"/>
      <c r="G182" s="108"/>
      <c r="H182" s="108"/>
      <c r="I182" s="108"/>
      <c r="J182" s="119"/>
      <c r="K182" s="119"/>
      <c r="L182" s="197"/>
      <c r="M182" s="197"/>
    </row>
    <row r="183" spans="1:13" ht="12.75">
      <c r="A183" s="118"/>
      <c r="B183" s="187"/>
      <c r="C183" s="187"/>
      <c r="D183" s="187"/>
      <c r="E183" s="187"/>
      <c r="F183" s="108"/>
      <c r="G183" s="108"/>
      <c r="H183" s="108"/>
      <c r="I183" s="108"/>
      <c r="J183" s="119"/>
      <c r="K183" s="119"/>
      <c r="L183" s="197"/>
      <c r="M183" s="197"/>
    </row>
    <row r="184" spans="1:13" ht="12.75">
      <c r="A184" s="118"/>
      <c r="B184" s="187"/>
      <c r="C184" s="187"/>
      <c r="D184" s="187"/>
      <c r="E184" s="187"/>
      <c r="F184" s="108"/>
      <c r="G184" s="108"/>
      <c r="H184" s="108"/>
      <c r="I184" s="108"/>
      <c r="J184" s="119"/>
      <c r="K184" s="119"/>
      <c r="L184" s="197"/>
      <c r="M184" s="197"/>
    </row>
    <row r="185" spans="1:13" ht="12.75">
      <c r="A185" s="118"/>
      <c r="B185" s="187"/>
      <c r="C185" s="187"/>
      <c r="D185" s="187"/>
      <c r="E185" s="187"/>
      <c r="F185" s="108"/>
      <c r="G185" s="108"/>
      <c r="H185" s="108"/>
      <c r="I185" s="108"/>
      <c r="J185" s="119"/>
      <c r="K185" s="119"/>
      <c r="L185" s="197"/>
      <c r="M185" s="197"/>
    </row>
    <row r="186" spans="1:13" ht="12.75">
      <c r="A186" s="118"/>
      <c r="B186" s="187"/>
      <c r="C186" s="187"/>
      <c r="D186" s="187"/>
      <c r="E186" s="187"/>
      <c r="F186" s="108"/>
      <c r="G186" s="108"/>
      <c r="H186" s="108"/>
      <c r="I186" s="108"/>
      <c r="J186" s="119"/>
      <c r="K186" s="119"/>
      <c r="L186" s="197"/>
      <c r="M186" s="197"/>
    </row>
    <row r="187" spans="1:13" ht="12.75">
      <c r="A187" s="118"/>
      <c r="B187" s="187"/>
      <c r="C187" s="187"/>
      <c r="D187" s="187"/>
      <c r="E187" s="187"/>
      <c r="F187" s="108"/>
      <c r="G187" s="108"/>
      <c r="H187" s="108"/>
      <c r="I187" s="108"/>
      <c r="J187" s="119"/>
      <c r="K187" s="119"/>
      <c r="L187" s="197"/>
      <c r="M187" s="197"/>
    </row>
    <row r="188" spans="1:13" ht="12.75">
      <c r="A188" s="118"/>
      <c r="B188" s="187"/>
      <c r="C188" s="187"/>
      <c r="D188" s="187"/>
      <c r="E188" s="187"/>
      <c r="F188" s="108"/>
      <c r="G188" s="108"/>
      <c r="H188" s="108"/>
      <c r="I188" s="108"/>
      <c r="J188" s="119"/>
      <c r="K188" s="119"/>
      <c r="L188" s="197"/>
      <c r="M188" s="197"/>
    </row>
    <row r="189" spans="1:13" ht="12.75">
      <c r="A189" s="118"/>
      <c r="B189" s="187"/>
      <c r="C189" s="187"/>
      <c r="D189" s="187"/>
      <c r="E189" s="187"/>
      <c r="F189" s="108"/>
      <c r="G189" s="108"/>
      <c r="H189" s="108"/>
      <c r="I189" s="108"/>
      <c r="J189" s="119"/>
      <c r="K189" s="119"/>
      <c r="L189" s="197"/>
      <c r="M189" s="197"/>
    </row>
    <row r="190" spans="1:13" ht="12.75">
      <c r="A190" s="118"/>
      <c r="B190" s="187"/>
      <c r="C190" s="187"/>
      <c r="D190" s="187"/>
      <c r="E190" s="187"/>
      <c r="F190" s="108"/>
      <c r="G190" s="108"/>
      <c r="H190" s="108"/>
      <c r="I190" s="108"/>
      <c r="J190" s="119"/>
      <c r="K190" s="119"/>
      <c r="L190" s="197"/>
      <c r="M190" s="197"/>
    </row>
    <row r="191" spans="1:13" ht="12.75">
      <c r="A191" s="118"/>
      <c r="B191" s="187"/>
      <c r="C191" s="187"/>
      <c r="D191" s="187"/>
      <c r="E191" s="187"/>
      <c r="F191" s="108"/>
      <c r="G191" s="108"/>
      <c r="H191" s="108"/>
      <c r="I191" s="108"/>
      <c r="J191" s="119"/>
      <c r="K191" s="119"/>
      <c r="L191" s="197"/>
      <c r="M191" s="197"/>
    </row>
    <row r="192" spans="1:13" ht="12.75">
      <c r="A192" s="118"/>
      <c r="B192" s="187"/>
      <c r="C192" s="187"/>
      <c r="D192" s="187"/>
      <c r="E192" s="187"/>
      <c r="F192" s="108"/>
      <c r="G192" s="108"/>
      <c r="H192" s="108"/>
      <c r="I192" s="108"/>
      <c r="J192" s="119"/>
      <c r="K192" s="119"/>
      <c r="L192" s="197"/>
      <c r="M192" s="197"/>
    </row>
    <row r="193" spans="1:13" ht="12.75">
      <c r="A193" s="118"/>
      <c r="B193" s="187"/>
      <c r="C193" s="187"/>
      <c r="D193" s="187"/>
      <c r="E193" s="187"/>
      <c r="F193" s="108"/>
      <c r="G193" s="108"/>
      <c r="H193" s="108"/>
      <c r="I193" s="108"/>
      <c r="J193" s="119"/>
      <c r="K193" s="119"/>
      <c r="L193" s="197"/>
      <c r="M193" s="197"/>
    </row>
    <row r="194" spans="1:13" ht="12.75">
      <c r="A194" s="118"/>
      <c r="B194" s="187"/>
      <c r="C194" s="187"/>
      <c r="D194" s="187"/>
      <c r="E194" s="187"/>
      <c r="F194" s="108"/>
      <c r="G194" s="108"/>
      <c r="H194" s="108"/>
      <c r="I194" s="108"/>
      <c r="J194" s="119"/>
      <c r="K194" s="119"/>
      <c r="L194" s="197"/>
      <c r="M194" s="197"/>
    </row>
    <row r="195" spans="1:13" ht="12.75">
      <c r="A195" s="118"/>
      <c r="B195" s="187"/>
      <c r="C195" s="187"/>
      <c r="D195" s="187"/>
      <c r="E195" s="187"/>
      <c r="F195" s="108"/>
      <c r="G195" s="108"/>
      <c r="H195" s="108"/>
      <c r="I195" s="108"/>
      <c r="J195" s="119"/>
      <c r="K195" s="119"/>
      <c r="L195" s="197"/>
      <c r="M195" s="197"/>
    </row>
    <row r="196" spans="1:13" ht="12.75">
      <c r="A196" s="118"/>
      <c r="B196" s="187"/>
      <c r="C196" s="187"/>
      <c r="D196" s="187"/>
      <c r="E196" s="187"/>
      <c r="F196" s="108"/>
      <c r="G196" s="108"/>
      <c r="H196" s="108"/>
      <c r="I196" s="108"/>
      <c r="J196" s="119"/>
      <c r="K196" s="119"/>
      <c r="L196" s="197"/>
      <c r="M196" s="197"/>
    </row>
    <row r="197" spans="1:13" ht="12.75">
      <c r="A197" s="118"/>
      <c r="B197" s="187"/>
      <c r="C197" s="187"/>
      <c r="D197" s="187"/>
      <c r="E197" s="187"/>
      <c r="F197" s="108"/>
      <c r="G197" s="108"/>
      <c r="H197" s="108"/>
      <c r="I197" s="108"/>
      <c r="J197" s="119"/>
      <c r="K197" s="119"/>
      <c r="L197" s="197"/>
      <c r="M197" s="197"/>
    </row>
    <row r="198" spans="1:13" ht="12.75">
      <c r="A198" s="118"/>
      <c r="B198" s="187"/>
      <c r="C198" s="187"/>
      <c r="D198" s="187"/>
      <c r="E198" s="187"/>
      <c r="F198" s="108"/>
      <c r="G198" s="108"/>
      <c r="H198" s="108"/>
      <c r="I198" s="108"/>
      <c r="J198" s="119"/>
      <c r="K198" s="119"/>
      <c r="L198" s="197"/>
      <c r="M198" s="197"/>
    </row>
    <row r="199" spans="1:13" ht="12.75">
      <c r="A199" s="118"/>
      <c r="B199" s="187"/>
      <c r="C199" s="187"/>
      <c r="D199" s="187"/>
      <c r="E199" s="187"/>
      <c r="F199" s="108"/>
      <c r="G199" s="108"/>
      <c r="H199" s="108"/>
      <c r="I199" s="108"/>
      <c r="J199" s="119"/>
      <c r="K199" s="119"/>
      <c r="L199" s="197"/>
      <c r="M199" s="197"/>
    </row>
    <row r="200" spans="1:13" ht="12.75">
      <c r="A200" s="118"/>
      <c r="B200" s="187"/>
      <c r="C200" s="187"/>
      <c r="D200" s="187"/>
      <c r="E200" s="187"/>
      <c r="F200" s="108"/>
      <c r="G200" s="108"/>
      <c r="H200" s="108"/>
      <c r="I200" s="108"/>
      <c r="J200" s="119"/>
      <c r="K200" s="119"/>
      <c r="L200" s="197"/>
      <c r="M200" s="197"/>
    </row>
    <row r="201" spans="1:13" ht="12.75">
      <c r="A201" s="118"/>
      <c r="B201" s="187"/>
      <c r="C201" s="187"/>
      <c r="D201" s="187"/>
      <c r="E201" s="187"/>
      <c r="F201" s="108"/>
      <c r="G201" s="108"/>
      <c r="H201" s="108"/>
      <c r="I201" s="108"/>
      <c r="J201" s="119"/>
      <c r="K201" s="119"/>
      <c r="L201" s="197"/>
      <c r="M201" s="197"/>
    </row>
    <row r="202" spans="1:13" ht="12.75">
      <c r="A202" s="118"/>
      <c r="B202" s="187"/>
      <c r="C202" s="187"/>
      <c r="D202" s="187"/>
      <c r="E202" s="187"/>
      <c r="F202" s="108"/>
      <c r="G202" s="108"/>
      <c r="H202" s="108"/>
      <c r="I202" s="108"/>
      <c r="J202" s="119"/>
      <c r="K202" s="119"/>
      <c r="L202" s="197"/>
      <c r="M202" s="197"/>
    </row>
    <row r="203" spans="1:13" ht="12.75">
      <c r="A203" s="118"/>
      <c r="B203" s="187"/>
      <c r="C203" s="187"/>
      <c r="D203" s="187"/>
      <c r="E203" s="187"/>
      <c r="F203" s="108"/>
      <c r="G203" s="108"/>
      <c r="H203" s="108"/>
      <c r="I203" s="108"/>
      <c r="J203" s="119"/>
      <c r="K203" s="119"/>
      <c r="L203" s="197"/>
      <c r="M203" s="197"/>
    </row>
    <row r="204" spans="1:13" ht="12.75">
      <c r="A204" s="118"/>
      <c r="B204" s="187"/>
      <c r="C204" s="187"/>
      <c r="D204" s="187"/>
      <c r="E204" s="187"/>
      <c r="F204" s="108"/>
      <c r="G204" s="108"/>
      <c r="H204" s="108"/>
      <c r="I204" s="108"/>
      <c r="J204" s="119"/>
      <c r="K204" s="119"/>
      <c r="L204" s="197"/>
      <c r="M204" s="197"/>
    </row>
    <row r="205" spans="1:13" ht="12.75">
      <c r="A205" s="118"/>
      <c r="B205" s="187"/>
      <c r="C205" s="187"/>
      <c r="D205" s="187"/>
      <c r="E205" s="187"/>
      <c r="F205" s="108"/>
      <c r="G205" s="108"/>
      <c r="H205" s="108"/>
      <c r="I205" s="108"/>
      <c r="J205" s="119"/>
      <c r="K205" s="119"/>
      <c r="L205" s="197"/>
      <c r="M205" s="197"/>
    </row>
    <row r="206" spans="1:13" ht="12.75">
      <c r="A206" s="118"/>
      <c r="B206" s="187"/>
      <c r="C206" s="187"/>
      <c r="D206" s="187"/>
      <c r="E206" s="187"/>
      <c r="F206" s="108"/>
      <c r="G206" s="108"/>
      <c r="H206" s="108"/>
      <c r="I206" s="108"/>
      <c r="J206" s="119"/>
      <c r="K206" s="119"/>
      <c r="L206" s="197"/>
      <c r="M206" s="197"/>
    </row>
    <row r="207" spans="1:13" ht="12.75">
      <c r="A207" s="118"/>
      <c r="B207" s="187"/>
      <c r="C207" s="187"/>
      <c r="D207" s="187"/>
      <c r="E207" s="187"/>
      <c r="F207" s="108"/>
      <c r="G207" s="108"/>
      <c r="H207" s="108"/>
      <c r="I207" s="108"/>
      <c r="J207" s="119"/>
      <c r="K207" s="119"/>
      <c r="L207" s="197"/>
      <c r="M207" s="197"/>
    </row>
    <row r="208" spans="1:13" ht="12.75">
      <c r="A208" s="118"/>
      <c r="B208" s="187"/>
      <c r="C208" s="187"/>
      <c r="D208" s="187"/>
      <c r="E208" s="187"/>
      <c r="F208" s="108"/>
      <c r="G208" s="108"/>
      <c r="H208" s="108"/>
      <c r="I208" s="108"/>
      <c r="J208" s="119"/>
      <c r="K208" s="119"/>
      <c r="L208" s="197"/>
      <c r="M208" s="197"/>
    </row>
    <row r="209" spans="1:13" ht="12.75">
      <c r="A209" s="118"/>
      <c r="B209" s="187"/>
      <c r="C209" s="187"/>
      <c r="D209" s="187"/>
      <c r="E209" s="187"/>
      <c r="F209" s="108"/>
      <c r="G209" s="108"/>
      <c r="H209" s="108"/>
      <c r="I209" s="108"/>
      <c r="J209" s="119"/>
      <c r="K209" s="119"/>
      <c r="L209" s="197"/>
      <c r="M209" s="197"/>
    </row>
    <row r="210" spans="1:13" ht="12.75">
      <c r="A210" s="118"/>
      <c r="B210" s="187"/>
      <c r="C210" s="187"/>
      <c r="D210" s="187"/>
      <c r="E210" s="187"/>
      <c r="F210" s="108"/>
      <c r="G210" s="108"/>
      <c r="H210" s="108"/>
      <c r="I210" s="108"/>
      <c r="J210" s="119"/>
      <c r="K210" s="119"/>
      <c r="L210" s="197"/>
      <c r="M210" s="197"/>
    </row>
    <row r="211" spans="1:13" ht="12.75">
      <c r="A211" s="118"/>
      <c r="B211" s="187"/>
      <c r="C211" s="187"/>
      <c r="D211" s="187"/>
      <c r="E211" s="187"/>
      <c r="F211" s="108"/>
      <c r="G211" s="108"/>
      <c r="H211" s="108"/>
      <c r="I211" s="108"/>
      <c r="J211" s="119"/>
      <c r="K211" s="119"/>
      <c r="L211" s="197"/>
      <c r="M211" s="197"/>
    </row>
    <row r="212" spans="1:13" ht="12.75">
      <c r="A212" s="118"/>
      <c r="B212" s="187"/>
      <c r="C212" s="187"/>
      <c r="D212" s="187"/>
      <c r="E212" s="187"/>
      <c r="F212" s="108"/>
      <c r="G212" s="108"/>
      <c r="H212" s="108"/>
      <c r="I212" s="108"/>
      <c r="J212" s="119"/>
      <c r="K212" s="119"/>
      <c r="L212" s="197"/>
      <c r="M212" s="197"/>
    </row>
    <row r="213" spans="1:13" ht="12.75">
      <c r="A213" s="118"/>
      <c r="B213" s="187"/>
      <c r="C213" s="187"/>
      <c r="D213" s="187"/>
      <c r="E213" s="187"/>
      <c r="F213" s="108"/>
      <c r="G213" s="108"/>
      <c r="H213" s="108"/>
      <c r="I213" s="108"/>
      <c r="J213" s="119"/>
      <c r="K213" s="119"/>
      <c r="L213" s="197"/>
      <c r="M213" s="197"/>
    </row>
    <row r="214" spans="1:13" ht="12.75">
      <c r="A214" s="118"/>
      <c r="B214" s="187"/>
      <c r="C214" s="187"/>
      <c r="D214" s="187"/>
      <c r="E214" s="187"/>
      <c r="F214" s="108"/>
      <c r="G214" s="108"/>
      <c r="H214" s="108"/>
      <c r="I214" s="108"/>
      <c r="J214" s="119"/>
      <c r="K214" s="119"/>
      <c r="L214" s="197"/>
      <c r="M214" s="197"/>
    </row>
    <row r="215" spans="1:13" ht="12.75">
      <c r="A215" s="118"/>
      <c r="B215" s="187"/>
      <c r="C215" s="187"/>
      <c r="D215" s="187"/>
      <c r="E215" s="187"/>
      <c r="F215" s="108"/>
      <c r="G215" s="108"/>
      <c r="H215" s="108"/>
      <c r="I215" s="108"/>
      <c r="J215" s="119"/>
      <c r="K215" s="119"/>
      <c r="L215" s="197"/>
      <c r="M215" s="197"/>
    </row>
    <row r="216" spans="1:13" ht="12.75">
      <c r="A216" s="118"/>
      <c r="B216" s="187"/>
      <c r="C216" s="187"/>
      <c r="D216" s="187"/>
      <c r="E216" s="187"/>
      <c r="F216" s="108"/>
      <c r="G216" s="108"/>
      <c r="H216" s="108"/>
      <c r="I216" s="108"/>
      <c r="J216" s="119"/>
      <c r="K216" s="119"/>
      <c r="L216" s="197"/>
      <c r="M216" s="197"/>
    </row>
    <row r="217" spans="1:13" ht="12.75">
      <c r="A217" s="118"/>
      <c r="B217" s="187"/>
      <c r="C217" s="187"/>
      <c r="D217" s="187"/>
      <c r="E217" s="187"/>
      <c r="F217" s="108"/>
      <c r="G217" s="108"/>
      <c r="H217" s="108"/>
      <c r="I217" s="108"/>
      <c r="J217" s="119"/>
      <c r="K217" s="119"/>
      <c r="L217" s="197"/>
      <c r="M217" s="197"/>
    </row>
    <row r="218" spans="1:13" ht="12.75">
      <c r="A218" s="118"/>
      <c r="B218" s="187"/>
      <c r="C218" s="187"/>
      <c r="D218" s="187"/>
      <c r="E218" s="187"/>
      <c r="F218" s="108"/>
      <c r="G218" s="108"/>
      <c r="H218" s="108"/>
      <c r="I218" s="108"/>
      <c r="J218" s="119"/>
      <c r="K218" s="119"/>
      <c r="L218" s="197"/>
      <c r="M218" s="197"/>
    </row>
    <row r="219" spans="1:13" ht="12.75">
      <c r="A219" s="118"/>
      <c r="B219" s="187"/>
      <c r="C219" s="187"/>
      <c r="D219" s="187"/>
      <c r="E219" s="187"/>
      <c r="F219" s="108"/>
      <c r="G219" s="108"/>
      <c r="H219" s="108"/>
      <c r="I219" s="108"/>
      <c r="J219" s="119"/>
      <c r="K219" s="119"/>
      <c r="L219" s="197"/>
      <c r="M219" s="197"/>
    </row>
    <row r="220" spans="1:13" ht="12.75">
      <c r="A220" s="118"/>
      <c r="B220" s="187"/>
      <c r="C220" s="187"/>
      <c r="D220" s="187"/>
      <c r="E220" s="187"/>
      <c r="F220" s="108"/>
      <c r="G220" s="108"/>
      <c r="H220" s="108"/>
      <c r="I220" s="108"/>
      <c r="J220" s="119"/>
      <c r="K220" s="119"/>
      <c r="L220" s="197"/>
      <c r="M220" s="197"/>
    </row>
    <row r="221" spans="1:13" ht="12.75">
      <c r="A221" s="118"/>
      <c r="B221" s="187"/>
      <c r="C221" s="187"/>
      <c r="D221" s="187"/>
      <c r="E221" s="187"/>
      <c r="F221" s="108"/>
      <c r="G221" s="108"/>
      <c r="H221" s="108"/>
      <c r="I221" s="108"/>
      <c r="J221" s="119"/>
      <c r="K221" s="119"/>
      <c r="L221" s="197"/>
      <c r="M221" s="197"/>
    </row>
    <row r="222" spans="1:13" ht="12.75">
      <c r="A222" s="118"/>
      <c r="B222" s="187"/>
      <c r="C222" s="187"/>
      <c r="D222" s="187"/>
      <c r="E222" s="187"/>
      <c r="F222" s="108"/>
      <c r="G222" s="108"/>
      <c r="H222" s="108"/>
      <c r="I222" s="108"/>
      <c r="J222" s="119"/>
      <c r="K222" s="119"/>
      <c r="L222" s="197"/>
      <c r="M222" s="197"/>
    </row>
    <row r="223" spans="1:13" ht="12.75">
      <c r="A223" s="118"/>
      <c r="B223" s="187"/>
      <c r="C223" s="187"/>
      <c r="D223" s="187"/>
      <c r="E223" s="187"/>
      <c r="F223" s="108"/>
      <c r="G223" s="108"/>
      <c r="H223" s="108"/>
      <c r="I223" s="108"/>
      <c r="J223" s="119"/>
      <c r="K223" s="119"/>
      <c r="L223" s="197"/>
      <c r="M223" s="197"/>
    </row>
    <row r="224" spans="1:13" ht="12.75">
      <c r="A224" s="118"/>
      <c r="B224" s="187"/>
      <c r="C224" s="187"/>
      <c r="D224" s="187"/>
      <c r="E224" s="187"/>
      <c r="F224" s="108"/>
      <c r="G224" s="108"/>
      <c r="H224" s="108"/>
      <c r="I224" s="108"/>
      <c r="J224" s="119"/>
      <c r="K224" s="119"/>
      <c r="L224" s="197"/>
      <c r="M224" s="197"/>
    </row>
    <row r="225" spans="1:13" ht="12.75">
      <c r="A225" s="118"/>
      <c r="B225" s="187"/>
      <c r="C225" s="187"/>
      <c r="D225" s="187"/>
      <c r="E225" s="187"/>
      <c r="F225" s="108"/>
      <c r="G225" s="108"/>
      <c r="H225" s="108"/>
      <c r="I225" s="108"/>
      <c r="J225" s="119"/>
      <c r="K225" s="119"/>
      <c r="L225" s="197"/>
      <c r="M225" s="197"/>
    </row>
    <row r="226" spans="1:13" ht="12.75">
      <c r="A226" s="118"/>
      <c r="B226" s="187"/>
      <c r="C226" s="187"/>
      <c r="D226" s="187"/>
      <c r="E226" s="187"/>
      <c r="F226" s="108"/>
      <c r="G226" s="108"/>
      <c r="H226" s="108"/>
      <c r="I226" s="108"/>
      <c r="J226" s="119"/>
      <c r="K226" s="119"/>
      <c r="L226" s="197"/>
      <c r="M226" s="197"/>
    </row>
    <row r="227" spans="1:13" ht="12.75">
      <c r="A227" s="118"/>
      <c r="B227" s="187"/>
      <c r="C227" s="187"/>
      <c r="D227" s="187"/>
      <c r="E227" s="187"/>
      <c r="F227" s="108"/>
      <c r="G227" s="108"/>
      <c r="H227" s="108"/>
      <c r="I227" s="108"/>
      <c r="J227" s="119"/>
      <c r="K227" s="119"/>
      <c r="L227" s="197"/>
      <c r="M227" s="197"/>
    </row>
    <row r="228" spans="1:13" ht="12.75">
      <c r="A228" s="118"/>
      <c r="B228" s="187"/>
      <c r="C228" s="187"/>
      <c r="D228" s="187"/>
      <c r="E228" s="187"/>
      <c r="F228" s="108"/>
      <c r="G228" s="108"/>
      <c r="H228" s="108"/>
      <c r="I228" s="108"/>
      <c r="J228" s="119"/>
      <c r="K228" s="119"/>
      <c r="L228" s="197"/>
      <c r="M228" s="197"/>
    </row>
    <row r="229" spans="1:13" ht="12.75">
      <c r="A229" s="118"/>
      <c r="B229" s="187"/>
      <c r="C229" s="187"/>
      <c r="D229" s="187"/>
      <c r="E229" s="187"/>
      <c r="F229" s="108"/>
      <c r="G229" s="108"/>
      <c r="H229" s="108"/>
      <c r="I229" s="108"/>
      <c r="J229" s="119"/>
      <c r="K229" s="119"/>
      <c r="L229" s="197"/>
      <c r="M229" s="197"/>
    </row>
    <row r="230" spans="1:13" ht="12.75">
      <c r="A230" s="118"/>
      <c r="B230" s="187"/>
      <c r="C230" s="187"/>
      <c r="D230" s="187"/>
      <c r="E230" s="187"/>
      <c r="F230" s="108"/>
      <c r="G230" s="108"/>
      <c r="H230" s="108"/>
      <c r="I230" s="108"/>
      <c r="J230" s="119"/>
      <c r="K230" s="119"/>
      <c r="L230" s="197"/>
      <c r="M230" s="197"/>
    </row>
    <row r="231" spans="1:13" ht="12.75">
      <c r="A231" s="118"/>
      <c r="B231" s="187"/>
      <c r="C231" s="187"/>
      <c r="D231" s="187"/>
      <c r="E231" s="187"/>
      <c r="F231" s="108"/>
      <c r="G231" s="108"/>
      <c r="H231" s="108"/>
      <c r="I231" s="108"/>
      <c r="J231" s="119"/>
      <c r="K231" s="119"/>
      <c r="L231" s="197"/>
      <c r="M231" s="197"/>
    </row>
    <row r="232" spans="1:13" ht="12.75">
      <c r="A232" s="118"/>
      <c r="B232" s="187"/>
      <c r="C232" s="187"/>
      <c r="D232" s="187"/>
      <c r="E232" s="187"/>
      <c r="F232" s="108"/>
      <c r="G232" s="108"/>
      <c r="H232" s="108"/>
      <c r="I232" s="108"/>
      <c r="J232" s="119"/>
      <c r="K232" s="119"/>
      <c r="L232" s="197"/>
      <c r="M232" s="197"/>
    </row>
    <row r="233" spans="1:13" ht="12.75">
      <c r="A233" s="118"/>
      <c r="B233" s="187"/>
      <c r="C233" s="187"/>
      <c r="D233" s="187"/>
      <c r="E233" s="187"/>
      <c r="F233" s="108"/>
      <c r="G233" s="108"/>
      <c r="H233" s="108"/>
      <c r="I233" s="108"/>
      <c r="J233" s="119"/>
      <c r="K233" s="119"/>
      <c r="L233" s="197"/>
      <c r="M233" s="197"/>
    </row>
    <row r="234" spans="1:13" ht="12.75">
      <c r="A234" s="118"/>
      <c r="B234" s="187"/>
      <c r="C234" s="187"/>
      <c r="D234" s="187"/>
      <c r="E234" s="187"/>
      <c r="F234" s="108"/>
      <c r="G234" s="108"/>
      <c r="H234" s="108"/>
      <c r="I234" s="108"/>
      <c r="J234" s="119"/>
      <c r="K234" s="119"/>
      <c r="L234" s="197"/>
      <c r="M234" s="197"/>
    </row>
    <row r="235" spans="1:13" ht="12.75">
      <c r="A235" s="118"/>
      <c r="B235" s="187"/>
      <c r="C235" s="187"/>
      <c r="D235" s="187"/>
      <c r="E235" s="187"/>
      <c r="F235" s="108"/>
      <c r="G235" s="108"/>
      <c r="H235" s="108"/>
      <c r="I235" s="108"/>
      <c r="J235" s="119"/>
      <c r="K235" s="119"/>
      <c r="L235" s="197"/>
      <c r="M235" s="197"/>
    </row>
    <row r="236" spans="1:13" ht="12.75">
      <c r="A236" s="118"/>
      <c r="B236" s="187"/>
      <c r="C236" s="187"/>
      <c r="D236" s="187"/>
      <c r="E236" s="187"/>
      <c r="F236" s="108"/>
      <c r="G236" s="108"/>
      <c r="H236" s="108"/>
      <c r="I236" s="108"/>
      <c r="J236" s="119"/>
      <c r="K236" s="119"/>
      <c r="L236" s="197"/>
      <c r="M236" s="197"/>
    </row>
    <row r="237" spans="1:13" ht="12.75">
      <c r="A237" s="118"/>
      <c r="B237" s="187"/>
      <c r="C237" s="187"/>
      <c r="D237" s="187"/>
      <c r="E237" s="187"/>
      <c r="F237" s="108"/>
      <c r="G237" s="108"/>
      <c r="H237" s="108"/>
      <c r="I237" s="108"/>
      <c r="J237" s="119"/>
      <c r="K237" s="119"/>
      <c r="L237" s="197"/>
      <c r="M237" s="197"/>
    </row>
    <row r="238" spans="1:13" ht="12.75">
      <c r="A238" s="118"/>
      <c r="B238" s="187"/>
      <c r="C238" s="187"/>
      <c r="D238" s="187"/>
      <c r="E238" s="187"/>
      <c r="F238" s="108"/>
      <c r="G238" s="108"/>
      <c r="H238" s="108"/>
      <c r="I238" s="108"/>
      <c r="J238" s="119"/>
      <c r="K238" s="119"/>
      <c r="L238" s="197"/>
      <c r="M238" s="197"/>
    </row>
    <row r="239" spans="1:13" ht="12.75">
      <c r="A239" s="118"/>
      <c r="B239" s="187"/>
      <c r="C239" s="187"/>
      <c r="D239" s="187"/>
      <c r="E239" s="187"/>
      <c r="F239" s="108"/>
      <c r="G239" s="108"/>
      <c r="H239" s="108"/>
      <c r="I239" s="108"/>
      <c r="J239" s="119"/>
      <c r="K239" s="119"/>
      <c r="L239" s="197"/>
      <c r="M239" s="197"/>
    </row>
    <row r="240" spans="1:13" ht="12.75">
      <c r="A240" s="118"/>
      <c r="B240" s="187"/>
      <c r="C240" s="187"/>
      <c r="D240" s="187"/>
      <c r="E240" s="187"/>
      <c r="F240" s="108"/>
      <c r="G240" s="108"/>
      <c r="H240" s="108"/>
      <c r="I240" s="108"/>
      <c r="J240" s="119"/>
      <c r="K240" s="119"/>
      <c r="L240" s="197"/>
      <c r="M240" s="197"/>
    </row>
    <row r="241" spans="1:13" ht="12.75">
      <c r="A241" s="118"/>
      <c r="B241" s="187"/>
      <c r="C241" s="187"/>
      <c r="D241" s="187"/>
      <c r="E241" s="187"/>
      <c r="F241" s="108"/>
      <c r="G241" s="108"/>
      <c r="H241" s="108"/>
      <c r="I241" s="108"/>
      <c r="J241" s="119"/>
      <c r="K241" s="119"/>
      <c r="L241" s="197"/>
      <c r="M241" s="197"/>
    </row>
    <row r="242" spans="1:13" ht="12.75">
      <c r="A242" s="118"/>
      <c r="B242" s="187"/>
      <c r="C242" s="187"/>
      <c r="D242" s="187"/>
      <c r="E242" s="187"/>
      <c r="F242" s="108"/>
      <c r="G242" s="108"/>
      <c r="H242" s="108"/>
      <c r="I242" s="108"/>
      <c r="J242" s="119"/>
      <c r="K242" s="119"/>
      <c r="L242" s="197"/>
      <c r="M242" s="197"/>
    </row>
    <row r="243" spans="1:13" ht="12.75">
      <c r="A243" s="118"/>
      <c r="B243" s="187"/>
      <c r="C243" s="187"/>
      <c r="D243" s="187"/>
      <c r="E243" s="187"/>
      <c r="F243" s="108"/>
      <c r="G243" s="108"/>
      <c r="H243" s="108"/>
      <c r="I243" s="108"/>
      <c r="J243" s="119"/>
      <c r="K243" s="119"/>
      <c r="L243" s="197"/>
      <c r="M243" s="197"/>
    </row>
    <row r="244" spans="1:13" ht="12.75">
      <c r="A244" s="118"/>
      <c r="B244" s="187"/>
      <c r="C244" s="187"/>
      <c r="D244" s="187"/>
      <c r="E244" s="187"/>
      <c r="F244" s="108"/>
      <c r="G244" s="108"/>
      <c r="H244" s="108"/>
      <c r="I244" s="108"/>
      <c r="J244" s="119"/>
      <c r="K244" s="119"/>
      <c r="L244" s="197"/>
      <c r="M244" s="197"/>
    </row>
    <row r="245" spans="1:13" ht="12.75">
      <c r="A245" s="118"/>
      <c r="B245" s="187"/>
      <c r="C245" s="187"/>
      <c r="D245" s="187"/>
      <c r="E245" s="187"/>
      <c r="F245" s="108"/>
      <c r="G245" s="108"/>
      <c r="H245" s="108"/>
      <c r="I245" s="108"/>
      <c r="J245" s="119"/>
      <c r="K245" s="119"/>
      <c r="L245" s="197"/>
      <c r="M245" s="197"/>
    </row>
    <row r="246" spans="1:13" ht="12.75">
      <c r="A246" s="118"/>
      <c r="B246" s="187"/>
      <c r="C246" s="187"/>
      <c r="D246" s="187"/>
      <c r="E246" s="187"/>
      <c r="F246" s="108"/>
      <c r="G246" s="108"/>
      <c r="H246" s="108"/>
      <c r="I246" s="108"/>
      <c r="J246" s="119"/>
      <c r="K246" s="119"/>
      <c r="L246" s="197"/>
      <c r="M246" s="197"/>
    </row>
    <row r="247" spans="1:13" ht="12.75">
      <c r="A247" s="118"/>
      <c r="B247" s="187"/>
      <c r="C247" s="187"/>
      <c r="D247" s="187"/>
      <c r="E247" s="187"/>
      <c r="F247" s="108"/>
      <c r="G247" s="108"/>
      <c r="H247" s="108"/>
      <c r="I247" s="108"/>
      <c r="J247" s="119"/>
      <c r="K247" s="119"/>
      <c r="L247" s="197"/>
      <c r="M247" s="197"/>
    </row>
    <row r="248" spans="1:13" ht="12.75">
      <c r="A248" s="118"/>
      <c r="B248" s="187"/>
      <c r="C248" s="187"/>
      <c r="D248" s="187"/>
      <c r="E248" s="187"/>
      <c r="F248" s="108"/>
      <c r="G248" s="108"/>
      <c r="H248" s="108"/>
      <c r="I248" s="108"/>
      <c r="J248" s="119"/>
      <c r="K248" s="119"/>
      <c r="L248" s="197"/>
      <c r="M248" s="197"/>
    </row>
    <row r="249" spans="1:13" ht="12.75">
      <c r="A249" s="118"/>
      <c r="B249" s="187"/>
      <c r="C249" s="187"/>
      <c r="D249" s="187"/>
      <c r="E249" s="187"/>
      <c r="F249" s="108"/>
      <c r="G249" s="108"/>
      <c r="H249" s="108"/>
      <c r="I249" s="108"/>
      <c r="J249" s="119"/>
      <c r="K249" s="119"/>
      <c r="L249" s="197"/>
      <c r="M249" s="197"/>
    </row>
    <row r="250" spans="1:13" ht="12.75">
      <c r="A250" s="118"/>
      <c r="B250" s="187"/>
      <c r="C250" s="187"/>
      <c r="D250" s="187"/>
      <c r="E250" s="187"/>
      <c r="F250" s="108"/>
      <c r="G250" s="108"/>
      <c r="H250" s="108"/>
      <c r="I250" s="108"/>
      <c r="J250" s="119"/>
      <c r="K250" s="119"/>
      <c r="L250" s="197"/>
      <c r="M250" s="197"/>
    </row>
    <row r="251" spans="1:13" ht="12.75">
      <c r="A251" s="118"/>
      <c r="B251" s="187"/>
      <c r="C251" s="187"/>
      <c r="D251" s="187"/>
      <c r="E251" s="187"/>
      <c r="F251" s="108"/>
      <c r="G251" s="108"/>
      <c r="H251" s="108"/>
      <c r="I251" s="108"/>
      <c r="J251" s="119"/>
      <c r="K251" s="119"/>
      <c r="L251" s="197"/>
      <c r="M251" s="197"/>
    </row>
    <row r="252" spans="1:13" ht="12.75">
      <c r="A252" s="118"/>
      <c r="B252" s="187"/>
      <c r="C252" s="187"/>
      <c r="D252" s="187"/>
      <c r="E252" s="187"/>
      <c r="F252" s="108"/>
      <c r="G252" s="108"/>
      <c r="H252" s="108"/>
      <c r="I252" s="108"/>
      <c r="J252" s="119"/>
      <c r="K252" s="119"/>
      <c r="L252" s="197"/>
      <c r="M252" s="197"/>
    </row>
    <row r="253" spans="1:13" ht="12.75">
      <c r="A253" s="118"/>
      <c r="B253" s="187"/>
      <c r="C253" s="187"/>
      <c r="D253" s="187"/>
      <c r="E253" s="187"/>
      <c r="F253" s="108"/>
      <c r="G253" s="108"/>
      <c r="H253" s="108"/>
      <c r="I253" s="108"/>
      <c r="J253" s="119"/>
      <c r="K253" s="119"/>
      <c r="L253" s="197"/>
      <c r="M253" s="197"/>
    </row>
    <row r="254" spans="1:13" ht="12.75">
      <c r="A254" s="118"/>
      <c r="B254" s="187"/>
      <c r="C254" s="187"/>
      <c r="D254" s="187"/>
      <c r="E254" s="187"/>
      <c r="F254" s="108"/>
      <c r="G254" s="108"/>
      <c r="H254" s="108"/>
      <c r="I254" s="108"/>
      <c r="J254" s="119"/>
      <c r="K254" s="119"/>
      <c r="L254" s="197"/>
      <c r="M254" s="197"/>
    </row>
    <row r="255" spans="1:13" ht="12.75">
      <c r="A255" s="118"/>
      <c r="B255" s="187"/>
      <c r="C255" s="187"/>
      <c r="D255" s="187"/>
      <c r="E255" s="187"/>
      <c r="F255" s="108"/>
      <c r="G255" s="108"/>
      <c r="H255" s="108"/>
      <c r="I255" s="108"/>
      <c r="J255" s="119"/>
      <c r="K255" s="119"/>
      <c r="L255" s="197"/>
      <c r="M255" s="197"/>
    </row>
    <row r="256" spans="1:13" ht="12.75">
      <c r="A256" s="118"/>
      <c r="B256" s="187"/>
      <c r="C256" s="187"/>
      <c r="D256" s="187"/>
      <c r="E256" s="187"/>
      <c r="F256" s="108"/>
      <c r="G256" s="108"/>
      <c r="H256" s="108"/>
      <c r="I256" s="108"/>
      <c r="J256" s="119"/>
      <c r="K256" s="119"/>
      <c r="L256" s="197"/>
      <c r="M256" s="197"/>
    </row>
    <row r="257" spans="1:13" ht="12.75">
      <c r="A257" s="118"/>
      <c r="B257" s="187"/>
      <c r="C257" s="187"/>
      <c r="D257" s="187"/>
      <c r="E257" s="187"/>
      <c r="F257" s="108"/>
      <c r="G257" s="108"/>
      <c r="H257" s="108"/>
      <c r="I257" s="108"/>
      <c r="J257" s="119"/>
      <c r="K257" s="119"/>
      <c r="L257" s="197"/>
      <c r="M257" s="197"/>
    </row>
    <row r="258" spans="1:13" ht="12.75">
      <c r="A258" s="118"/>
      <c r="B258" s="187"/>
      <c r="C258" s="187"/>
      <c r="D258" s="187"/>
      <c r="E258" s="187"/>
      <c r="F258" s="108"/>
      <c r="G258" s="108"/>
      <c r="H258" s="108"/>
      <c r="I258" s="108"/>
      <c r="J258" s="119"/>
      <c r="K258" s="119"/>
      <c r="L258" s="197"/>
      <c r="M258" s="197"/>
    </row>
    <row r="259" spans="1:13" ht="12.75">
      <c r="A259" s="118"/>
      <c r="B259" s="187"/>
      <c r="C259" s="187"/>
      <c r="D259" s="187"/>
      <c r="E259" s="187"/>
      <c r="F259" s="108"/>
      <c r="G259" s="108"/>
      <c r="H259" s="108"/>
      <c r="I259" s="108"/>
      <c r="J259" s="119"/>
      <c r="K259" s="119"/>
      <c r="L259" s="197"/>
      <c r="M259" s="197"/>
    </row>
    <row r="260" spans="1:13" ht="12.75">
      <c r="A260" s="118"/>
      <c r="B260" s="187"/>
      <c r="C260" s="187"/>
      <c r="D260" s="187"/>
      <c r="E260" s="187"/>
      <c r="F260" s="108"/>
      <c r="G260" s="108"/>
      <c r="H260" s="108"/>
      <c r="I260" s="108"/>
      <c r="J260" s="119"/>
      <c r="K260" s="119"/>
      <c r="L260" s="197"/>
      <c r="M260" s="197"/>
    </row>
    <row r="261" spans="1:13" ht="12.75">
      <c r="A261" s="118"/>
      <c r="B261" s="187"/>
      <c r="C261" s="187"/>
      <c r="D261" s="187"/>
      <c r="E261" s="187"/>
      <c r="F261" s="108"/>
      <c r="G261" s="108"/>
      <c r="H261" s="108"/>
      <c r="I261" s="108"/>
      <c r="J261" s="119"/>
      <c r="K261" s="119"/>
      <c r="L261" s="197"/>
      <c r="M261" s="197"/>
    </row>
    <row r="262" spans="1:13" ht="12.75">
      <c r="A262" s="118"/>
      <c r="B262" s="187"/>
      <c r="C262" s="187"/>
      <c r="D262" s="187"/>
      <c r="E262" s="187"/>
      <c r="F262" s="108"/>
      <c r="G262" s="108"/>
      <c r="H262" s="108"/>
      <c r="I262" s="108"/>
      <c r="J262" s="119"/>
      <c r="K262" s="119"/>
      <c r="L262" s="197"/>
      <c r="M262" s="197"/>
    </row>
    <row r="263" spans="1:13" ht="12.75">
      <c r="A263" s="118"/>
      <c r="B263" s="187"/>
      <c r="C263" s="187"/>
      <c r="D263" s="187"/>
      <c r="E263" s="187"/>
      <c r="F263" s="108"/>
      <c r="G263" s="108"/>
      <c r="H263" s="108"/>
      <c r="I263" s="108"/>
      <c r="J263" s="119"/>
      <c r="K263" s="119"/>
      <c r="L263" s="197"/>
      <c r="M263" s="197"/>
    </row>
    <row r="264" spans="1:13" ht="12.75">
      <c r="A264" s="118"/>
      <c r="B264" s="187"/>
      <c r="C264" s="187"/>
      <c r="D264" s="187"/>
      <c r="E264" s="187"/>
      <c r="F264" s="108"/>
      <c r="G264" s="108"/>
      <c r="H264" s="108"/>
      <c r="I264" s="108"/>
      <c r="J264" s="119"/>
      <c r="K264" s="119"/>
      <c r="L264" s="197"/>
      <c r="M264" s="197"/>
    </row>
    <row r="265" spans="1:13" ht="12.75">
      <c r="A265" s="118"/>
      <c r="B265" s="187"/>
      <c r="C265" s="187"/>
      <c r="D265" s="187"/>
      <c r="E265" s="187"/>
      <c r="F265" s="108"/>
      <c r="G265" s="108"/>
      <c r="H265" s="108"/>
      <c r="I265" s="108"/>
      <c r="J265" s="119"/>
      <c r="K265" s="119"/>
      <c r="L265" s="197"/>
      <c r="M265" s="197"/>
    </row>
    <row r="266" spans="1:13" ht="12.75">
      <c r="A266" s="118"/>
      <c r="B266" s="187"/>
      <c r="C266" s="187"/>
      <c r="D266" s="187"/>
      <c r="E266" s="187"/>
      <c r="F266" s="108"/>
      <c r="G266" s="108"/>
      <c r="H266" s="108"/>
      <c r="I266" s="108"/>
      <c r="J266" s="119"/>
      <c r="K266" s="119"/>
      <c r="L266" s="197"/>
      <c r="M266" s="197"/>
    </row>
    <row r="267" spans="1:13" ht="12.75">
      <c r="A267" s="118"/>
      <c r="B267" s="187"/>
      <c r="C267" s="187"/>
      <c r="D267" s="187"/>
      <c r="E267" s="187"/>
      <c r="F267" s="108"/>
      <c r="G267" s="108"/>
      <c r="H267" s="108"/>
      <c r="I267" s="108"/>
      <c r="J267" s="119"/>
      <c r="K267" s="119"/>
      <c r="L267" s="197"/>
      <c r="M267" s="197"/>
    </row>
    <row r="268" spans="1:13" ht="12.75">
      <c r="A268" s="118"/>
      <c r="B268" s="187"/>
      <c r="C268" s="187"/>
      <c r="D268" s="187"/>
      <c r="E268" s="187"/>
      <c r="F268" s="108"/>
      <c r="G268" s="108"/>
      <c r="H268" s="108"/>
      <c r="I268" s="108"/>
      <c r="J268" s="119"/>
      <c r="K268" s="119"/>
      <c r="L268" s="197"/>
      <c r="M268" s="197"/>
    </row>
    <row r="269" spans="1:13" ht="12.75">
      <c r="A269" s="118"/>
      <c r="B269" s="187"/>
      <c r="C269" s="187"/>
      <c r="D269" s="187"/>
      <c r="E269" s="187"/>
      <c r="F269" s="108"/>
      <c r="G269" s="108"/>
      <c r="H269" s="108"/>
      <c r="I269" s="108"/>
      <c r="J269" s="119"/>
      <c r="K269" s="119"/>
      <c r="L269" s="197"/>
      <c r="M269" s="197"/>
    </row>
    <row r="270" spans="1:13" ht="12.75">
      <c r="A270" s="118"/>
      <c r="B270" s="187"/>
      <c r="C270" s="187"/>
      <c r="D270" s="187"/>
      <c r="E270" s="187"/>
      <c r="F270" s="108"/>
      <c r="G270" s="108"/>
      <c r="H270" s="108"/>
      <c r="I270" s="108"/>
      <c r="J270" s="119"/>
      <c r="K270" s="119"/>
      <c r="L270" s="197"/>
      <c r="M270" s="197"/>
    </row>
    <row r="271" spans="1:13" ht="12.75">
      <c r="A271" s="118"/>
      <c r="B271" s="187"/>
      <c r="C271" s="187"/>
      <c r="D271" s="187"/>
      <c r="E271" s="187"/>
      <c r="F271" s="108"/>
      <c r="G271" s="108"/>
      <c r="H271" s="108"/>
      <c r="I271" s="108"/>
      <c r="J271" s="119"/>
      <c r="K271" s="119"/>
      <c r="L271" s="197"/>
      <c r="M271" s="197"/>
    </row>
    <row r="272" spans="1:13" ht="12.75">
      <c r="A272" s="118"/>
      <c r="B272" s="187"/>
      <c r="C272" s="187"/>
      <c r="D272" s="187"/>
      <c r="E272" s="187"/>
      <c r="F272" s="108"/>
      <c r="G272" s="108"/>
      <c r="H272" s="108"/>
      <c r="I272" s="108"/>
      <c r="J272" s="119"/>
      <c r="K272" s="119"/>
      <c r="L272" s="197"/>
      <c r="M272" s="197"/>
    </row>
    <row r="273" spans="1:13" ht="12.75">
      <c r="A273" s="118"/>
      <c r="B273" s="187"/>
      <c r="C273" s="187"/>
      <c r="D273" s="187"/>
      <c r="E273" s="187"/>
      <c r="F273" s="108"/>
      <c r="G273" s="108"/>
      <c r="H273" s="108"/>
      <c r="I273" s="108"/>
      <c r="J273" s="119"/>
      <c r="K273" s="119"/>
      <c r="L273" s="197"/>
      <c r="M273" s="197"/>
    </row>
    <row r="274" spans="1:13" ht="12.75">
      <c r="A274" s="118"/>
      <c r="B274" s="187"/>
      <c r="C274" s="187"/>
      <c r="D274" s="187"/>
      <c r="E274" s="187"/>
      <c r="F274" s="108"/>
      <c r="G274" s="108"/>
      <c r="H274" s="108"/>
      <c r="I274" s="108"/>
      <c r="J274" s="119"/>
      <c r="K274" s="119"/>
      <c r="L274" s="197"/>
      <c r="M274" s="197"/>
    </row>
    <row r="275" spans="1:13" ht="12.75">
      <c r="A275" s="118"/>
      <c r="B275" s="187"/>
      <c r="C275" s="187"/>
      <c r="D275" s="187"/>
      <c r="E275" s="187"/>
      <c r="F275" s="108"/>
      <c r="G275" s="108"/>
      <c r="H275" s="108"/>
      <c r="I275" s="108"/>
      <c r="J275" s="119"/>
      <c r="K275" s="119"/>
      <c r="L275" s="197"/>
      <c r="M275" s="197"/>
    </row>
    <row r="276" spans="1:13" ht="12.75">
      <c r="A276" s="118"/>
      <c r="B276" s="187"/>
      <c r="C276" s="187"/>
      <c r="D276" s="187"/>
      <c r="E276" s="187"/>
      <c r="F276" s="108"/>
      <c r="G276" s="108"/>
      <c r="H276" s="108"/>
      <c r="I276" s="108"/>
      <c r="J276" s="119"/>
      <c r="K276" s="119"/>
      <c r="L276" s="197"/>
      <c r="M276" s="197"/>
    </row>
    <row r="277" spans="1:13" ht="12.75">
      <c r="A277" s="118"/>
      <c r="B277" s="187"/>
      <c r="C277" s="187"/>
      <c r="D277" s="187"/>
      <c r="E277" s="187"/>
      <c r="F277" s="108"/>
      <c r="G277" s="108"/>
      <c r="H277" s="108"/>
      <c r="I277" s="108"/>
      <c r="J277" s="119"/>
      <c r="K277" s="119"/>
      <c r="L277" s="197"/>
      <c r="M277" s="197"/>
    </row>
    <row r="278" spans="1:13" ht="12.75">
      <c r="A278" s="118"/>
      <c r="B278" s="187"/>
      <c r="C278" s="187"/>
      <c r="D278" s="187"/>
      <c r="E278" s="187"/>
      <c r="F278" s="108"/>
      <c r="G278" s="108"/>
      <c r="H278" s="108"/>
      <c r="I278" s="108"/>
      <c r="J278" s="119"/>
      <c r="K278" s="119"/>
      <c r="L278" s="197"/>
      <c r="M278" s="197"/>
    </row>
    <row r="279" spans="1:13" ht="12.75">
      <c r="A279" s="118"/>
      <c r="B279" s="187"/>
      <c r="C279" s="187"/>
      <c r="D279" s="187"/>
      <c r="E279" s="187"/>
      <c r="F279" s="108"/>
      <c r="G279" s="108"/>
      <c r="H279" s="108"/>
      <c r="I279" s="108"/>
      <c r="J279" s="119"/>
      <c r="K279" s="119"/>
      <c r="L279" s="197"/>
      <c r="M279" s="197"/>
    </row>
    <row r="280" spans="1:13" ht="12.75">
      <c r="A280" s="118"/>
      <c r="B280" s="187"/>
      <c r="C280" s="187"/>
      <c r="D280" s="187"/>
      <c r="E280" s="187"/>
      <c r="F280" s="108"/>
      <c r="G280" s="108"/>
      <c r="H280" s="108"/>
      <c r="I280" s="108"/>
      <c r="J280" s="119"/>
      <c r="K280" s="119"/>
      <c r="L280" s="197"/>
      <c r="M280" s="197"/>
    </row>
    <row r="281" spans="1:13" ht="12.75">
      <c r="A281" s="118"/>
      <c r="B281" s="187"/>
      <c r="C281" s="187"/>
      <c r="D281" s="187"/>
      <c r="E281" s="187"/>
      <c r="F281" s="108"/>
      <c r="G281" s="108"/>
      <c r="H281" s="108"/>
      <c r="I281" s="108"/>
      <c r="J281" s="119"/>
      <c r="K281" s="119"/>
      <c r="L281" s="197"/>
      <c r="M281" s="197"/>
    </row>
    <row r="282" spans="1:13" ht="12.75">
      <c r="A282" s="118"/>
      <c r="B282" s="187"/>
      <c r="C282" s="187"/>
      <c r="D282" s="187"/>
      <c r="E282" s="187"/>
      <c r="F282" s="108"/>
      <c r="G282" s="108"/>
      <c r="H282" s="108"/>
      <c r="I282" s="108"/>
      <c r="J282" s="119"/>
      <c r="K282" s="119"/>
      <c r="L282" s="197"/>
      <c r="M282" s="197"/>
    </row>
    <row r="283" spans="1:13" ht="12.75">
      <c r="A283" s="118"/>
      <c r="B283" s="187"/>
      <c r="C283" s="187"/>
      <c r="D283" s="187"/>
      <c r="E283" s="187"/>
      <c r="F283" s="108"/>
      <c r="G283" s="108"/>
      <c r="H283" s="108"/>
      <c r="I283" s="108"/>
      <c r="J283" s="119"/>
      <c r="K283" s="119"/>
      <c r="L283" s="197"/>
      <c r="M283" s="197"/>
    </row>
    <row r="284" spans="1:13" ht="12.75">
      <c r="A284" s="118"/>
      <c r="B284" s="187"/>
      <c r="C284" s="187"/>
      <c r="D284" s="187"/>
      <c r="E284" s="187"/>
      <c r="F284" s="108"/>
      <c r="G284" s="108"/>
      <c r="H284" s="108"/>
      <c r="I284" s="108"/>
      <c r="J284" s="119"/>
      <c r="K284" s="119"/>
      <c r="L284" s="197"/>
      <c r="M284" s="197"/>
    </row>
    <row r="285" spans="1:13" ht="12.75">
      <c r="A285" s="118"/>
      <c r="B285" s="187"/>
      <c r="C285" s="187"/>
      <c r="D285" s="187"/>
      <c r="E285" s="187"/>
      <c r="F285" s="108"/>
      <c r="G285" s="108"/>
      <c r="H285" s="108"/>
      <c r="I285" s="108"/>
      <c r="J285" s="119"/>
      <c r="K285" s="119"/>
      <c r="L285" s="197"/>
      <c r="M285" s="197"/>
    </row>
    <row r="286" spans="1:13" ht="12.75">
      <c r="A286" s="118"/>
      <c r="B286" s="187"/>
      <c r="C286" s="187"/>
      <c r="D286" s="187"/>
      <c r="E286" s="187"/>
      <c r="F286" s="108"/>
      <c r="G286" s="108"/>
      <c r="H286" s="108"/>
      <c r="I286" s="108"/>
      <c r="J286" s="119"/>
      <c r="K286" s="119"/>
      <c r="L286" s="197"/>
      <c r="M286" s="197"/>
    </row>
    <row r="287" spans="1:13" ht="12.75">
      <c r="A287" s="118"/>
      <c r="B287" s="187"/>
      <c r="C287" s="187"/>
      <c r="D287" s="187"/>
      <c r="E287" s="187"/>
      <c r="F287" s="108"/>
      <c r="G287" s="108"/>
      <c r="H287" s="108"/>
      <c r="I287" s="108"/>
      <c r="J287" s="119"/>
      <c r="K287" s="119"/>
      <c r="L287" s="197"/>
      <c r="M287" s="197"/>
    </row>
    <row r="288" spans="1:13" ht="12.75">
      <c r="A288" s="118"/>
      <c r="B288" s="187"/>
      <c r="C288" s="187"/>
      <c r="D288" s="187"/>
      <c r="E288" s="187"/>
      <c r="F288" s="108"/>
      <c r="G288" s="108"/>
      <c r="H288" s="108"/>
      <c r="I288" s="108"/>
      <c r="J288" s="119"/>
      <c r="K288" s="119"/>
      <c r="L288" s="197"/>
      <c r="M288" s="197"/>
    </row>
    <row r="289" spans="1:13" ht="12.75">
      <c r="A289" s="118"/>
      <c r="B289" s="187"/>
      <c r="C289" s="187"/>
      <c r="D289" s="187"/>
      <c r="E289" s="187"/>
      <c r="F289" s="108"/>
      <c r="G289" s="108"/>
      <c r="H289" s="108"/>
      <c r="I289" s="108"/>
      <c r="J289" s="119"/>
      <c r="K289" s="119"/>
      <c r="L289" s="197"/>
      <c r="M289" s="197"/>
    </row>
    <row r="290" spans="1:13" ht="12.75">
      <c r="A290" s="118"/>
      <c r="B290" s="187"/>
      <c r="C290" s="187"/>
      <c r="D290" s="187"/>
      <c r="E290" s="187"/>
      <c r="F290" s="108"/>
      <c r="G290" s="108"/>
      <c r="H290" s="108"/>
      <c r="I290" s="108"/>
      <c r="J290" s="119"/>
      <c r="K290" s="119"/>
      <c r="L290" s="197"/>
      <c r="M290" s="197"/>
    </row>
    <row r="291" spans="1:13" ht="12.75">
      <c r="A291" s="118"/>
      <c r="B291" s="187"/>
      <c r="C291" s="187"/>
      <c r="D291" s="187"/>
      <c r="E291" s="187"/>
      <c r="F291" s="108"/>
      <c r="G291" s="108"/>
      <c r="H291" s="108"/>
      <c r="I291" s="108"/>
      <c r="J291" s="119"/>
      <c r="K291" s="119"/>
      <c r="L291" s="197"/>
      <c r="M291" s="197"/>
    </row>
    <row r="292" spans="1:13" ht="12.75">
      <c r="A292" s="118"/>
      <c r="B292" s="187"/>
      <c r="C292" s="187"/>
      <c r="D292" s="187"/>
      <c r="E292" s="187"/>
      <c r="F292" s="108"/>
      <c r="G292" s="108"/>
      <c r="H292" s="108"/>
      <c r="I292" s="108"/>
      <c r="J292" s="119"/>
      <c r="K292" s="119"/>
      <c r="L292" s="197"/>
      <c r="M292" s="197"/>
    </row>
    <row r="293" spans="1:13" ht="12.75">
      <c r="A293" s="118"/>
      <c r="B293" s="187"/>
      <c r="C293" s="187"/>
      <c r="D293" s="187"/>
      <c r="E293" s="187"/>
      <c r="F293" s="108"/>
      <c r="G293" s="108"/>
      <c r="H293" s="108"/>
      <c r="I293" s="108"/>
      <c r="J293" s="119"/>
      <c r="K293" s="119"/>
      <c r="L293" s="197"/>
      <c r="M293" s="197"/>
    </row>
    <row r="294" spans="1:13" ht="12.75">
      <c r="A294" s="118"/>
      <c r="B294" s="187"/>
      <c r="C294" s="187"/>
      <c r="D294" s="187"/>
      <c r="E294" s="187"/>
      <c r="F294" s="108"/>
      <c r="G294" s="108"/>
      <c r="H294" s="108"/>
      <c r="I294" s="108"/>
      <c r="J294" s="119"/>
      <c r="K294" s="119"/>
      <c r="L294" s="197"/>
      <c r="M294" s="197"/>
    </row>
    <row r="295" spans="1:13" ht="12.75">
      <c r="A295" s="118"/>
      <c r="B295" s="187"/>
      <c r="C295" s="187"/>
      <c r="D295" s="187"/>
      <c r="E295" s="187"/>
      <c r="F295" s="108"/>
      <c r="G295" s="108"/>
      <c r="H295" s="108"/>
      <c r="I295" s="108"/>
      <c r="J295" s="119"/>
      <c r="K295" s="119"/>
      <c r="L295" s="197"/>
      <c r="M295" s="197"/>
    </row>
    <row r="296" spans="1:13" ht="12.75">
      <c r="A296" s="118"/>
      <c r="B296" s="187"/>
      <c r="C296" s="187"/>
      <c r="D296" s="187"/>
      <c r="E296" s="187"/>
      <c r="F296" s="108"/>
      <c r="G296" s="108"/>
      <c r="H296" s="108"/>
      <c r="I296" s="108"/>
      <c r="J296" s="119"/>
      <c r="K296" s="119"/>
      <c r="L296" s="197"/>
      <c r="M296" s="197"/>
    </row>
    <row r="297" spans="1:13" ht="12.75">
      <c r="A297" s="118"/>
      <c r="B297" s="187"/>
      <c r="C297" s="187"/>
      <c r="D297" s="187"/>
      <c r="E297" s="187"/>
      <c r="F297" s="108"/>
      <c r="G297" s="108"/>
      <c r="H297" s="108"/>
      <c r="I297" s="108"/>
      <c r="J297" s="119"/>
      <c r="K297" s="119"/>
      <c r="L297" s="197"/>
      <c r="M297" s="197"/>
    </row>
    <row r="298" spans="1:13" ht="12.75">
      <c r="A298" s="118"/>
      <c r="B298" s="187"/>
      <c r="C298" s="187"/>
      <c r="D298" s="187"/>
      <c r="E298" s="187"/>
      <c r="F298" s="108"/>
      <c r="G298" s="108"/>
      <c r="H298" s="108"/>
      <c r="I298" s="108"/>
      <c r="J298" s="119"/>
      <c r="K298" s="119"/>
      <c r="L298" s="197"/>
      <c r="M298" s="197"/>
    </row>
    <row r="299" spans="1:13" ht="12.75">
      <c r="A299" s="118"/>
      <c r="B299" s="187"/>
      <c r="C299" s="187"/>
      <c r="D299" s="187"/>
      <c r="E299" s="187"/>
      <c r="F299" s="108"/>
      <c r="G299" s="108"/>
      <c r="H299" s="108"/>
      <c r="I299" s="108"/>
      <c r="J299" s="119"/>
      <c r="K299" s="119"/>
      <c r="L299" s="197"/>
      <c r="M299" s="197"/>
    </row>
    <row r="300" spans="1:13" ht="12.75">
      <c r="A300" s="118"/>
      <c r="B300" s="187"/>
      <c r="C300" s="187"/>
      <c r="D300" s="187"/>
      <c r="E300" s="187"/>
      <c r="F300" s="108"/>
      <c r="G300" s="108"/>
      <c r="H300" s="108"/>
      <c r="I300" s="108"/>
      <c r="J300" s="119"/>
      <c r="K300" s="119"/>
      <c r="L300" s="197"/>
      <c r="M300" s="197"/>
    </row>
    <row r="301" spans="1:13" ht="12.75">
      <c r="A301" s="118"/>
      <c r="B301" s="187"/>
      <c r="C301" s="187"/>
      <c r="D301" s="187"/>
      <c r="E301" s="187"/>
      <c r="F301" s="108"/>
      <c r="G301" s="108"/>
      <c r="H301" s="108"/>
      <c r="I301" s="108"/>
      <c r="J301" s="119"/>
      <c r="K301" s="119"/>
      <c r="L301" s="197"/>
      <c r="M301" s="197"/>
    </row>
    <row r="302" spans="1:13" ht="12.75">
      <c r="A302" s="118"/>
      <c r="B302" s="187"/>
      <c r="C302" s="187"/>
      <c r="D302" s="187"/>
      <c r="E302" s="187"/>
      <c r="F302" s="108"/>
      <c r="G302" s="108"/>
      <c r="H302" s="108"/>
      <c r="I302" s="108"/>
      <c r="J302" s="119"/>
      <c r="K302" s="119"/>
      <c r="L302" s="197"/>
      <c r="M302" s="197"/>
    </row>
    <row r="303" spans="1:13" ht="12.75">
      <c r="A303" s="118"/>
      <c r="B303" s="187"/>
      <c r="C303" s="187"/>
      <c r="D303" s="187"/>
      <c r="E303" s="187"/>
      <c r="F303" s="108"/>
      <c r="G303" s="108"/>
      <c r="H303" s="108"/>
      <c r="I303" s="108"/>
      <c r="J303" s="119"/>
      <c r="K303" s="119"/>
      <c r="L303" s="197"/>
      <c r="M303" s="197"/>
    </row>
    <row r="304" spans="1:13" ht="12.75">
      <c r="A304" s="118"/>
      <c r="B304" s="187"/>
      <c r="C304" s="187"/>
      <c r="D304" s="187"/>
      <c r="E304" s="187"/>
      <c r="F304" s="108"/>
      <c r="G304" s="108"/>
      <c r="H304" s="108"/>
      <c r="I304" s="108"/>
      <c r="J304" s="119"/>
      <c r="K304" s="119"/>
      <c r="L304" s="197"/>
      <c r="M304" s="197"/>
    </row>
    <row r="305" spans="1:13" ht="12.75">
      <c r="A305" s="118"/>
      <c r="B305" s="187"/>
      <c r="C305" s="187"/>
      <c r="D305" s="187"/>
      <c r="E305" s="187"/>
      <c r="F305" s="108"/>
      <c r="G305" s="108"/>
      <c r="H305" s="108"/>
      <c r="I305" s="108"/>
      <c r="J305" s="119"/>
      <c r="K305" s="119"/>
      <c r="L305" s="197"/>
      <c r="M305" s="197"/>
    </row>
    <row r="306" spans="1:13" ht="12.75">
      <c r="A306" s="118"/>
      <c r="B306" s="187"/>
      <c r="C306" s="187"/>
      <c r="D306" s="187"/>
      <c r="E306" s="187"/>
      <c r="F306" s="108"/>
      <c r="G306" s="108"/>
      <c r="H306" s="108"/>
      <c r="I306" s="108"/>
      <c r="J306" s="119"/>
      <c r="K306" s="119"/>
      <c r="L306" s="197"/>
      <c r="M306" s="197"/>
    </row>
    <row r="307" spans="1:13" ht="12.75">
      <c r="A307" s="118"/>
      <c r="B307" s="187"/>
      <c r="C307" s="187"/>
      <c r="D307" s="187"/>
      <c r="E307" s="187"/>
      <c r="F307" s="108"/>
      <c r="G307" s="108"/>
      <c r="H307" s="108"/>
      <c r="I307" s="108"/>
      <c r="J307" s="119"/>
      <c r="K307" s="119"/>
      <c r="L307" s="197"/>
      <c r="M307" s="197"/>
    </row>
    <row r="308" spans="1:13" ht="12.75">
      <c r="A308" s="118"/>
      <c r="B308" s="187"/>
      <c r="C308" s="187"/>
      <c r="D308" s="187"/>
      <c r="E308" s="187"/>
      <c r="F308" s="108"/>
      <c r="G308" s="108"/>
      <c r="H308" s="108"/>
      <c r="I308" s="108"/>
      <c r="J308" s="119"/>
      <c r="K308" s="119"/>
      <c r="L308" s="197"/>
      <c r="M308" s="197"/>
    </row>
    <row r="309" spans="1:13" ht="12.75">
      <c r="A309" s="118"/>
      <c r="B309" s="187"/>
      <c r="C309" s="187"/>
      <c r="D309" s="187"/>
      <c r="E309" s="187"/>
      <c r="F309" s="108"/>
      <c r="G309" s="108"/>
      <c r="H309" s="108"/>
      <c r="I309" s="108"/>
      <c r="J309" s="119"/>
      <c r="K309" s="119"/>
      <c r="L309" s="197"/>
      <c r="M309" s="197"/>
    </row>
    <row r="310" spans="1:13" ht="12.75">
      <c r="A310" s="118"/>
      <c r="B310" s="187"/>
      <c r="C310" s="187"/>
      <c r="D310" s="187"/>
      <c r="E310" s="187"/>
      <c r="F310" s="108"/>
      <c r="G310" s="108"/>
      <c r="H310" s="108"/>
      <c r="I310" s="108"/>
      <c r="J310" s="119"/>
      <c r="K310" s="119"/>
      <c r="L310" s="197"/>
      <c r="M310" s="197"/>
    </row>
    <row r="311" spans="1:13" ht="12.75">
      <c r="A311" s="118"/>
      <c r="B311" s="187"/>
      <c r="C311" s="187"/>
      <c r="D311" s="187"/>
      <c r="E311" s="187"/>
      <c r="F311" s="108"/>
      <c r="G311" s="108"/>
      <c r="H311" s="108"/>
      <c r="I311" s="108"/>
      <c r="J311" s="119"/>
      <c r="K311" s="119"/>
      <c r="L311" s="197"/>
      <c r="M311" s="197"/>
    </row>
    <row r="312" spans="1:13" ht="12.75">
      <c r="A312" s="118"/>
      <c r="B312" s="187"/>
      <c r="C312" s="187"/>
      <c r="D312" s="187"/>
      <c r="E312" s="187"/>
      <c r="F312" s="108"/>
      <c r="G312" s="108"/>
      <c r="H312" s="108"/>
      <c r="I312" s="108"/>
      <c r="J312" s="119"/>
      <c r="K312" s="119"/>
      <c r="L312" s="197"/>
      <c r="M312" s="197"/>
    </row>
    <row r="313" spans="1:13" ht="12.75">
      <c r="A313" s="118"/>
      <c r="B313" s="187"/>
      <c r="C313" s="187"/>
      <c r="D313" s="187"/>
      <c r="E313" s="187"/>
      <c r="F313" s="108"/>
      <c r="G313" s="108"/>
      <c r="H313" s="108"/>
      <c r="I313" s="108"/>
      <c r="J313" s="119"/>
      <c r="K313" s="119"/>
      <c r="L313" s="197"/>
      <c r="M313" s="197"/>
    </row>
    <row r="314" spans="1:13" ht="12.75">
      <c r="A314" s="118"/>
      <c r="B314" s="187"/>
      <c r="C314" s="187"/>
      <c r="D314" s="187"/>
      <c r="E314" s="187"/>
      <c r="F314" s="108"/>
      <c r="G314" s="108"/>
      <c r="H314" s="108"/>
      <c r="I314" s="108"/>
      <c r="J314" s="119"/>
      <c r="K314" s="119"/>
      <c r="L314" s="197"/>
      <c r="M314" s="197"/>
    </row>
    <row r="315" spans="1:13" ht="12.75">
      <c r="A315" s="118"/>
      <c r="B315" s="187"/>
      <c r="C315" s="187"/>
      <c r="D315" s="187"/>
      <c r="E315" s="187"/>
      <c r="F315" s="108"/>
      <c r="G315" s="108"/>
      <c r="H315" s="108"/>
      <c r="I315" s="108"/>
      <c r="J315" s="119"/>
      <c r="K315" s="119"/>
      <c r="L315" s="197"/>
      <c r="M315" s="197"/>
    </row>
    <row r="316" spans="1:13" ht="12.75">
      <c r="A316" s="118"/>
      <c r="B316" s="187"/>
      <c r="C316" s="187"/>
      <c r="D316" s="187"/>
      <c r="E316" s="187"/>
      <c r="F316" s="108"/>
      <c r="G316" s="108"/>
      <c r="H316" s="108"/>
      <c r="I316" s="108"/>
      <c r="J316" s="119"/>
      <c r="K316" s="119"/>
      <c r="L316" s="197"/>
      <c r="M316" s="197"/>
    </row>
    <row r="317" spans="1:13" ht="12.75">
      <c r="A317" s="118"/>
      <c r="B317" s="187"/>
      <c r="C317" s="187"/>
      <c r="D317" s="187"/>
      <c r="E317" s="187"/>
      <c r="F317" s="108"/>
      <c r="G317" s="108"/>
      <c r="H317" s="108"/>
      <c r="I317" s="108"/>
      <c r="J317" s="119"/>
      <c r="K317" s="119"/>
      <c r="L317" s="197"/>
      <c r="M317" s="197"/>
    </row>
    <row r="318" spans="1:13" ht="12.75">
      <c r="A318" s="118"/>
      <c r="B318" s="187"/>
      <c r="C318" s="187"/>
      <c r="D318" s="187"/>
      <c r="E318" s="187"/>
      <c r="F318" s="108"/>
      <c r="G318" s="108"/>
      <c r="H318" s="108"/>
      <c r="I318" s="108"/>
      <c r="J318" s="119"/>
      <c r="K318" s="119"/>
      <c r="L318" s="197"/>
      <c r="M318" s="197"/>
    </row>
    <row r="319" spans="1:13" ht="12.75">
      <c r="A319" s="118"/>
      <c r="B319" s="187"/>
      <c r="C319" s="187"/>
      <c r="D319" s="187"/>
      <c r="E319" s="187"/>
      <c r="F319" s="108"/>
      <c r="G319" s="108"/>
      <c r="H319" s="108"/>
      <c r="I319" s="108"/>
      <c r="J319" s="119"/>
      <c r="K319" s="119"/>
      <c r="L319" s="197"/>
      <c r="M319" s="197"/>
    </row>
    <row r="320" spans="1:13" ht="12.75">
      <c r="A320" s="118"/>
      <c r="B320" s="187"/>
      <c r="C320" s="187"/>
      <c r="D320" s="187"/>
      <c r="E320" s="187"/>
      <c r="F320" s="108"/>
      <c r="G320" s="108"/>
      <c r="H320" s="108"/>
      <c r="I320" s="108"/>
      <c r="J320" s="119"/>
      <c r="K320" s="119"/>
      <c r="L320" s="197"/>
      <c r="M320" s="197"/>
    </row>
    <row r="321" spans="1:13" ht="12.75">
      <c r="A321" s="118"/>
      <c r="B321" s="187"/>
      <c r="C321" s="187"/>
      <c r="D321" s="187"/>
      <c r="E321" s="187"/>
      <c r="F321" s="108"/>
      <c r="G321" s="108"/>
      <c r="H321" s="108"/>
      <c r="I321" s="108"/>
      <c r="J321" s="119"/>
      <c r="K321" s="119"/>
      <c r="L321" s="197"/>
      <c r="M321" s="197"/>
    </row>
    <row r="322" spans="1:13" ht="12.75">
      <c r="A322" s="118"/>
      <c r="B322" s="187"/>
      <c r="C322" s="187"/>
      <c r="D322" s="187"/>
      <c r="E322" s="187"/>
      <c r="F322" s="108"/>
      <c r="G322" s="108"/>
      <c r="H322" s="108"/>
      <c r="I322" s="108"/>
      <c r="J322" s="119"/>
      <c r="K322" s="119"/>
      <c r="L322" s="197"/>
      <c r="M322" s="197"/>
    </row>
    <row r="323" spans="1:13" ht="12.75">
      <c r="A323" s="118"/>
      <c r="B323" s="187"/>
      <c r="C323" s="187"/>
      <c r="D323" s="187"/>
      <c r="E323" s="187"/>
      <c r="F323" s="108"/>
      <c r="G323" s="108"/>
      <c r="H323" s="108"/>
      <c r="I323" s="108"/>
      <c r="J323" s="119"/>
      <c r="K323" s="119"/>
      <c r="L323" s="197"/>
      <c r="M323" s="197"/>
    </row>
    <row r="324" spans="1:13" ht="12.75">
      <c r="A324" s="118"/>
      <c r="B324" s="187"/>
      <c r="C324" s="187"/>
      <c r="D324" s="187"/>
      <c r="E324" s="187"/>
      <c r="F324" s="108"/>
      <c r="G324" s="108"/>
      <c r="H324" s="108"/>
      <c r="I324" s="108"/>
      <c r="J324" s="119"/>
      <c r="K324" s="119"/>
      <c r="L324" s="197"/>
      <c r="M324" s="197"/>
    </row>
    <row r="325" spans="1:13" ht="12.75">
      <c r="A325" s="118"/>
      <c r="B325" s="187"/>
      <c r="C325" s="187"/>
      <c r="D325" s="187"/>
      <c r="E325" s="187"/>
      <c r="F325" s="108"/>
      <c r="G325" s="108"/>
      <c r="H325" s="108"/>
      <c r="I325" s="108"/>
      <c r="J325" s="119"/>
      <c r="K325" s="119"/>
      <c r="L325" s="197"/>
      <c r="M325" s="197"/>
    </row>
    <row r="326" spans="1:13" ht="12.75">
      <c r="A326" s="118"/>
      <c r="B326" s="187"/>
      <c r="C326" s="187"/>
      <c r="D326" s="187"/>
      <c r="E326" s="187"/>
      <c r="F326" s="108"/>
      <c r="G326" s="108"/>
      <c r="H326" s="108"/>
      <c r="I326" s="108"/>
      <c r="J326" s="119"/>
      <c r="K326" s="119"/>
      <c r="L326" s="197"/>
      <c r="M326" s="197"/>
    </row>
    <row r="327" spans="1:13" ht="12.75">
      <c r="A327" s="118"/>
      <c r="B327" s="187"/>
      <c r="C327" s="187"/>
      <c r="D327" s="187"/>
      <c r="E327" s="187"/>
      <c r="F327" s="108"/>
      <c r="G327" s="108"/>
      <c r="H327" s="108"/>
      <c r="I327" s="108"/>
      <c r="J327" s="119"/>
      <c r="K327" s="119"/>
      <c r="L327" s="197"/>
      <c r="M327" s="197"/>
    </row>
    <row r="328" spans="1:13" ht="12.75">
      <c r="A328" s="118"/>
      <c r="B328" s="187"/>
      <c r="C328" s="187"/>
      <c r="D328" s="187"/>
      <c r="E328" s="187"/>
      <c r="F328" s="108"/>
      <c r="G328" s="108"/>
      <c r="H328" s="108"/>
      <c r="I328" s="108"/>
      <c r="J328" s="119"/>
      <c r="K328" s="119"/>
      <c r="L328" s="197"/>
      <c r="M328" s="197"/>
    </row>
    <row r="329" spans="1:13" ht="12.75">
      <c r="A329" s="118"/>
      <c r="B329" s="187"/>
      <c r="C329" s="187"/>
      <c r="D329" s="187"/>
      <c r="E329" s="187"/>
      <c r="F329" s="108"/>
      <c r="G329" s="108"/>
      <c r="H329" s="108"/>
      <c r="I329" s="108"/>
      <c r="J329" s="119"/>
      <c r="K329" s="119"/>
      <c r="L329" s="197"/>
      <c r="M329" s="197"/>
    </row>
    <row r="330" spans="1:13" ht="12.75">
      <c r="A330" s="118"/>
      <c r="B330" s="187"/>
      <c r="C330" s="187"/>
      <c r="D330" s="187"/>
      <c r="E330" s="187"/>
      <c r="F330" s="108"/>
      <c r="G330" s="108"/>
      <c r="H330" s="108"/>
      <c r="I330" s="108"/>
      <c r="J330" s="119"/>
      <c r="K330" s="119"/>
      <c r="L330" s="197"/>
      <c r="M330" s="197"/>
    </row>
    <row r="331" spans="1:13" ht="12.75">
      <c r="A331" s="118"/>
      <c r="B331" s="187"/>
      <c r="C331" s="187"/>
      <c r="D331" s="187"/>
      <c r="E331" s="187"/>
      <c r="F331" s="108"/>
      <c r="G331" s="108"/>
      <c r="H331" s="108"/>
      <c r="I331" s="108"/>
      <c r="J331" s="119"/>
      <c r="K331" s="119"/>
      <c r="L331" s="197"/>
      <c r="M331" s="197"/>
    </row>
    <row r="332" spans="1:13" ht="12.75">
      <c r="A332" s="118"/>
      <c r="B332" s="187"/>
      <c r="C332" s="187"/>
      <c r="D332" s="187"/>
      <c r="E332" s="187"/>
      <c r="F332" s="108"/>
      <c r="G332" s="108"/>
      <c r="H332" s="108"/>
      <c r="I332" s="108"/>
      <c r="J332" s="119"/>
      <c r="K332" s="119"/>
      <c r="L332" s="197"/>
      <c r="M332" s="197"/>
    </row>
    <row r="333" spans="1:13" ht="12.75">
      <c r="A333" s="118"/>
      <c r="B333" s="187"/>
      <c r="C333" s="187"/>
      <c r="D333" s="187"/>
      <c r="E333" s="187"/>
      <c r="F333" s="108"/>
      <c r="G333" s="108"/>
      <c r="H333" s="108"/>
      <c r="I333" s="108"/>
      <c r="J333" s="119"/>
      <c r="K333" s="119"/>
      <c r="L333" s="197"/>
      <c r="M333" s="197"/>
    </row>
    <row r="334" spans="1:13" ht="12.75">
      <c r="A334" s="118"/>
      <c r="B334" s="187"/>
      <c r="C334" s="187"/>
      <c r="D334" s="187"/>
      <c r="E334" s="187"/>
      <c r="F334" s="108"/>
      <c r="G334" s="108"/>
      <c r="H334" s="108"/>
      <c r="I334" s="108"/>
      <c r="J334" s="119"/>
      <c r="K334" s="119"/>
      <c r="L334" s="197"/>
      <c r="M334" s="197"/>
    </row>
    <row r="335" spans="1:13" ht="12.75">
      <c r="A335" s="118"/>
      <c r="B335" s="187"/>
      <c r="C335" s="187"/>
      <c r="D335" s="187"/>
      <c r="E335" s="187"/>
      <c r="F335" s="108"/>
      <c r="G335" s="108"/>
      <c r="H335" s="108"/>
      <c r="I335" s="108"/>
      <c r="J335" s="119"/>
      <c r="K335" s="119"/>
      <c r="L335" s="197"/>
      <c r="M335" s="197"/>
    </row>
    <row r="336" spans="1:13" ht="12.75">
      <c r="A336" s="118"/>
      <c r="B336" s="187"/>
      <c r="C336" s="187"/>
      <c r="D336" s="187"/>
      <c r="E336" s="187"/>
      <c r="F336" s="108"/>
      <c r="G336" s="108"/>
      <c r="H336" s="108"/>
      <c r="I336" s="108"/>
      <c r="J336" s="119"/>
      <c r="K336" s="119"/>
      <c r="L336" s="197"/>
      <c r="M336" s="197"/>
    </row>
    <row r="337" spans="1:13" ht="12.75">
      <c r="A337" s="118"/>
      <c r="B337" s="187"/>
      <c r="C337" s="187"/>
      <c r="D337" s="187"/>
      <c r="E337" s="187"/>
      <c r="F337" s="108"/>
      <c r="G337" s="108"/>
      <c r="H337" s="108"/>
      <c r="I337" s="108"/>
      <c r="J337" s="119"/>
      <c r="K337" s="119"/>
      <c r="L337" s="197"/>
      <c r="M337" s="197"/>
    </row>
    <row r="338" spans="1:13" ht="12.75">
      <c r="A338" s="118"/>
      <c r="B338" s="187"/>
      <c r="C338" s="187"/>
      <c r="D338" s="187"/>
      <c r="E338" s="187"/>
      <c r="F338" s="108"/>
      <c r="G338" s="108"/>
      <c r="H338" s="108"/>
      <c r="I338" s="108"/>
      <c r="J338" s="119"/>
      <c r="K338" s="119"/>
      <c r="L338" s="197"/>
      <c r="M338" s="197"/>
    </row>
    <row r="339" spans="1:13" ht="12.75">
      <c r="A339" s="118"/>
      <c r="B339" s="187"/>
      <c r="C339" s="187"/>
      <c r="D339" s="187"/>
      <c r="E339" s="187"/>
      <c r="F339" s="108"/>
      <c r="G339" s="108"/>
      <c r="H339" s="108"/>
      <c r="I339" s="108"/>
      <c r="J339" s="119"/>
      <c r="K339" s="119"/>
      <c r="L339" s="197"/>
      <c r="M339" s="197"/>
    </row>
    <row r="340" spans="1:13" ht="12.75">
      <c r="A340" s="118"/>
      <c r="B340" s="187"/>
      <c r="C340" s="187"/>
      <c r="D340" s="187"/>
      <c r="E340" s="187"/>
      <c r="F340" s="108"/>
      <c r="G340" s="108"/>
      <c r="H340" s="108"/>
      <c r="I340" s="108"/>
      <c r="J340" s="119"/>
      <c r="K340" s="119"/>
      <c r="L340" s="197"/>
      <c r="M340" s="197"/>
    </row>
    <row r="341" spans="1:13" ht="12.75">
      <c r="A341" s="118"/>
      <c r="B341" s="187"/>
      <c r="C341" s="187"/>
      <c r="D341" s="187"/>
      <c r="E341" s="187"/>
      <c r="F341" s="108"/>
      <c r="G341" s="108"/>
      <c r="H341" s="108"/>
      <c r="I341" s="108"/>
      <c r="J341" s="119"/>
      <c r="K341" s="119"/>
      <c r="L341" s="197"/>
      <c r="M341" s="197"/>
    </row>
    <row r="342" spans="1:13" ht="12.75">
      <c r="A342" s="118"/>
      <c r="B342" s="187"/>
      <c r="C342" s="187"/>
      <c r="D342" s="187"/>
      <c r="E342" s="187"/>
      <c r="F342" s="108"/>
      <c r="G342" s="108"/>
      <c r="H342" s="108"/>
      <c r="I342" s="108"/>
      <c r="J342" s="119"/>
      <c r="K342" s="119"/>
      <c r="L342" s="197"/>
      <c r="M342" s="197"/>
    </row>
    <row r="343" spans="1:13" ht="12.75">
      <c r="A343" s="118"/>
      <c r="B343" s="187"/>
      <c r="C343" s="187"/>
      <c r="D343" s="187"/>
      <c r="E343" s="187"/>
      <c r="F343" s="108"/>
      <c r="G343" s="108"/>
      <c r="H343" s="108"/>
      <c r="I343" s="108"/>
      <c r="J343" s="119"/>
      <c r="K343" s="119"/>
      <c r="L343" s="197"/>
      <c r="M343" s="197"/>
    </row>
    <row r="344" spans="1:13" ht="12.75">
      <c r="A344" s="118"/>
      <c r="B344" s="187"/>
      <c r="C344" s="187"/>
      <c r="D344" s="187"/>
      <c r="E344" s="187"/>
      <c r="F344" s="108"/>
      <c r="G344" s="108"/>
      <c r="H344" s="108"/>
      <c r="I344" s="108"/>
      <c r="J344" s="119"/>
      <c r="K344" s="119"/>
      <c r="L344" s="197"/>
      <c r="M344" s="197"/>
    </row>
    <row r="345" spans="1:13" ht="12.75">
      <c r="A345" s="118"/>
      <c r="B345" s="187"/>
      <c r="C345" s="187"/>
      <c r="D345" s="187"/>
      <c r="E345" s="187"/>
      <c r="F345" s="108"/>
      <c r="G345" s="108"/>
      <c r="H345" s="108"/>
      <c r="I345" s="108"/>
      <c r="J345" s="119"/>
      <c r="K345" s="119"/>
      <c r="L345" s="197"/>
      <c r="M345" s="197"/>
    </row>
    <row r="346" spans="1:13" ht="12.75">
      <c r="A346" s="118"/>
      <c r="B346" s="187"/>
      <c r="C346" s="187"/>
      <c r="D346" s="187"/>
      <c r="E346" s="187"/>
      <c r="F346" s="108"/>
      <c r="G346" s="108"/>
      <c r="H346" s="108"/>
      <c r="I346" s="108"/>
      <c r="J346" s="119"/>
      <c r="K346" s="119"/>
      <c r="L346" s="197"/>
      <c r="M346" s="197"/>
    </row>
    <row r="347" spans="1:13" ht="12.75">
      <c r="A347" s="118"/>
      <c r="B347" s="187"/>
      <c r="C347" s="187"/>
      <c r="D347" s="187"/>
      <c r="E347" s="187"/>
      <c r="F347" s="108"/>
      <c r="G347" s="108"/>
      <c r="H347" s="108"/>
      <c r="I347" s="108"/>
      <c r="J347" s="119"/>
      <c r="K347" s="119"/>
      <c r="L347" s="197"/>
      <c r="M347" s="197"/>
    </row>
    <row r="348" spans="1:13" ht="12.75">
      <c r="A348" s="118"/>
      <c r="B348" s="187"/>
      <c r="C348" s="187"/>
      <c r="D348" s="187"/>
      <c r="E348" s="187"/>
      <c r="F348" s="108"/>
      <c r="G348" s="108"/>
      <c r="H348" s="108"/>
      <c r="I348" s="108"/>
      <c r="J348" s="119"/>
      <c r="K348" s="119"/>
      <c r="L348" s="197"/>
      <c r="M348" s="197"/>
    </row>
    <row r="349" spans="1:13" ht="12.75">
      <c r="A349" s="118"/>
      <c r="B349" s="187"/>
      <c r="C349" s="187"/>
      <c r="D349" s="187"/>
      <c r="E349" s="187"/>
      <c r="F349" s="108"/>
      <c r="G349" s="108"/>
      <c r="H349" s="108"/>
      <c r="I349" s="108"/>
      <c r="J349" s="119"/>
      <c r="K349" s="119"/>
      <c r="L349" s="197"/>
      <c r="M349" s="197"/>
    </row>
    <row r="350" spans="1:13" ht="12.75">
      <c r="A350" s="118"/>
      <c r="B350" s="187"/>
      <c r="C350" s="187"/>
      <c r="D350" s="187"/>
      <c r="E350" s="187"/>
      <c r="F350" s="108"/>
      <c r="G350" s="108"/>
      <c r="H350" s="108"/>
      <c r="I350" s="108"/>
      <c r="J350" s="119"/>
      <c r="K350" s="119"/>
      <c r="L350" s="197"/>
      <c r="M350" s="197"/>
    </row>
    <row r="351" spans="1:13" ht="12.75">
      <c r="A351" s="118"/>
      <c r="B351" s="187"/>
      <c r="C351" s="187"/>
      <c r="D351" s="187"/>
      <c r="E351" s="187"/>
      <c r="F351" s="108"/>
      <c r="G351" s="108"/>
      <c r="H351" s="108"/>
      <c r="I351" s="108"/>
      <c r="J351" s="119"/>
      <c r="K351" s="119"/>
      <c r="L351" s="197"/>
      <c r="M351" s="197"/>
    </row>
    <row r="352" spans="1:13" ht="12.75">
      <c r="A352" s="118"/>
      <c r="B352" s="187"/>
      <c r="C352" s="187"/>
      <c r="D352" s="187"/>
      <c r="E352" s="187"/>
      <c r="F352" s="108"/>
      <c r="G352" s="108"/>
      <c r="H352" s="108"/>
      <c r="I352" s="108"/>
      <c r="J352" s="119"/>
      <c r="K352" s="119"/>
      <c r="L352" s="197"/>
      <c r="M352" s="197"/>
    </row>
    <row r="353" spans="1:11" ht="12.75">
      <c r="A353" s="118"/>
      <c r="B353" s="187"/>
      <c r="C353" s="187"/>
      <c r="D353" s="187"/>
      <c r="E353" s="187"/>
      <c r="F353" s="108"/>
      <c r="G353" s="108"/>
      <c r="H353" s="108"/>
      <c r="I353" s="108"/>
      <c r="J353" s="119"/>
      <c r="K353" s="119"/>
    </row>
    <row r="354" spans="1:11" ht="12.75">
      <c r="A354" s="118"/>
      <c r="B354" s="187"/>
      <c r="C354" s="187"/>
      <c r="D354" s="187"/>
      <c r="E354" s="187"/>
      <c r="F354" s="108"/>
      <c r="G354" s="108"/>
      <c r="H354" s="108"/>
      <c r="I354" s="108"/>
      <c r="J354" s="119"/>
      <c r="K354" s="119"/>
    </row>
    <row r="355" spans="1:11" ht="12.75">
      <c r="A355" s="118"/>
      <c r="B355" s="187"/>
      <c r="C355" s="187"/>
      <c r="D355" s="187"/>
      <c r="E355" s="187"/>
      <c r="F355" s="108"/>
      <c r="G355" s="108"/>
      <c r="H355" s="108"/>
      <c r="I355" s="108"/>
      <c r="J355" s="119"/>
      <c r="K355" s="119"/>
    </row>
    <row r="356" spans="1:11" ht="12.75">
      <c r="A356" s="118"/>
      <c r="B356" s="187"/>
      <c r="C356" s="187"/>
      <c r="D356" s="187"/>
      <c r="E356" s="187"/>
      <c r="F356" s="108"/>
      <c r="G356" s="108"/>
      <c r="H356" s="108"/>
      <c r="I356" s="108"/>
      <c r="J356" s="119"/>
      <c r="K356" s="119"/>
    </row>
    <row r="357" spans="1:11" ht="12.75">
      <c r="A357" s="118"/>
      <c r="B357" s="187"/>
      <c r="C357" s="187"/>
      <c r="D357" s="187"/>
      <c r="E357" s="187"/>
      <c r="F357" s="108"/>
      <c r="G357" s="108"/>
      <c r="H357" s="108"/>
      <c r="I357" s="108"/>
      <c r="J357" s="119"/>
      <c r="K357" s="119"/>
    </row>
    <row r="358" spans="1:11" ht="12.75">
      <c r="A358" s="118"/>
      <c r="B358" s="187"/>
      <c r="C358" s="187"/>
      <c r="D358" s="187"/>
      <c r="E358" s="187"/>
      <c r="F358" s="108"/>
      <c r="G358" s="108"/>
      <c r="H358" s="108"/>
      <c r="I358" s="108"/>
      <c r="J358" s="119"/>
      <c r="K358" s="119"/>
    </row>
    <row r="359" spans="1:11" ht="12.75">
      <c r="A359" s="118"/>
      <c r="B359" s="187"/>
      <c r="C359" s="187"/>
      <c r="D359" s="187"/>
      <c r="E359" s="187"/>
      <c r="F359" s="108"/>
      <c r="G359" s="108"/>
      <c r="H359" s="108"/>
      <c r="I359" s="108"/>
      <c r="J359" s="119"/>
      <c r="K359" s="119"/>
    </row>
    <row r="360" spans="1:11" ht="12.75">
      <c r="A360" s="118"/>
      <c r="B360" s="187"/>
      <c r="C360" s="187"/>
      <c r="D360" s="187"/>
      <c r="E360" s="187"/>
      <c r="F360" s="108"/>
      <c r="G360" s="108"/>
      <c r="H360" s="108"/>
      <c r="I360" s="108"/>
      <c r="J360" s="119"/>
      <c r="K360" s="119"/>
    </row>
    <row r="361" spans="1:11" ht="12.75">
      <c r="A361" s="118"/>
      <c r="B361" s="187"/>
      <c r="C361" s="187"/>
      <c r="D361" s="187"/>
      <c r="E361" s="187"/>
      <c r="F361" s="108"/>
      <c r="G361" s="108"/>
      <c r="H361" s="108"/>
      <c r="I361" s="108"/>
      <c r="J361" s="119"/>
      <c r="K361" s="119"/>
    </row>
    <row r="362" spans="1:11" ht="12.75">
      <c r="A362" s="118"/>
      <c r="B362" s="187"/>
      <c r="C362" s="187"/>
      <c r="D362" s="187"/>
      <c r="E362" s="187"/>
      <c r="F362" s="108"/>
      <c r="G362" s="108"/>
      <c r="H362" s="108"/>
      <c r="I362" s="108"/>
      <c r="J362" s="119"/>
      <c r="K362" s="119"/>
    </row>
  </sheetData>
  <sheetProtection/>
  <mergeCells count="3">
    <mergeCell ref="B3:E3"/>
    <mergeCell ref="G3:J3"/>
    <mergeCell ref="L3:O3"/>
  </mergeCells>
  <printOptions/>
  <pageMargins left="0.1968503937007874" right="0.1968503937007874" top="0.5511811023622047" bottom="0" header="0" footer="0"/>
  <pageSetup fitToHeight="1" fitToWidth="1" horizontalDpi="600" verticalDpi="600" orientation="portrait" paperSize="9" scale="99" r:id="rId1"/>
  <ignoredErrors>
    <ignoredError sqref="O6:O49 D6:N15 D49:N49 L50:P50 L51:O51 L53:O53 I54 D54 L54:O55" unlockedFormula="1"/>
    <ignoredError sqref="M27:N48 D27:D48 B16:C26 E27:H48 E16:H26 M16:N26 I16:L20 D21:D26 D16:D20 I27:L48 I21:L26" formulaRange="1" unlockedFormula="1"/>
    <ignoredError sqref="B27:C48" formulaRange="1"/>
    <ignoredError sqref="D21:D26 D16:D20 I27:L48 I21:L26" formula="1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zoomScalePageLayoutView="0" workbookViewId="0" topLeftCell="A1">
      <selection activeCell="G19" sqref="G19"/>
    </sheetView>
  </sheetViews>
  <sheetFormatPr defaultColWidth="11.421875" defaultRowHeight="12.75"/>
  <cols>
    <col min="1" max="1" width="1.421875" style="703" customWidth="1"/>
    <col min="2" max="2" width="23.28125" style="703" customWidth="1"/>
    <col min="3" max="3" width="10.421875" style="703" bestFit="1" customWidth="1"/>
    <col min="4" max="4" width="2.00390625" style="703" customWidth="1"/>
    <col min="5" max="5" width="9.7109375" style="703" customWidth="1"/>
    <col min="6" max="6" width="1.8515625" style="703" customWidth="1"/>
    <col min="7" max="7" width="8.57421875" style="703" customWidth="1"/>
    <col min="8" max="8" width="4.7109375" style="703" customWidth="1"/>
    <col min="9" max="9" width="7.140625" style="703" customWidth="1"/>
    <col min="10" max="10" width="1.1484375" style="703" customWidth="1"/>
    <col min="11" max="11" width="8.140625" style="703" customWidth="1"/>
    <col min="12" max="12" width="2.57421875" style="703" customWidth="1"/>
    <col min="13" max="17" width="6.28125" style="703" customWidth="1"/>
    <col min="18" max="16384" width="11.421875" style="703" customWidth="1"/>
  </cols>
  <sheetData>
    <row r="1" spans="1:18" s="648" customFormat="1" ht="12.75">
      <c r="A1" s="697"/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</row>
    <row r="2" spans="1:18" ht="15">
      <c r="A2" s="699" t="s">
        <v>1160</v>
      </c>
      <c r="B2" s="700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2"/>
    </row>
    <row r="3" spans="1:18" ht="12.75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698"/>
    </row>
    <row r="4" spans="1:17" ht="12.75">
      <c r="A4" s="702"/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</row>
    <row r="5" spans="1:17" ht="12.75">
      <c r="A5" s="704"/>
      <c r="B5" s="705"/>
      <c r="C5" s="706" t="s">
        <v>987</v>
      </c>
      <c r="D5" s="706"/>
      <c r="E5" s="706" t="s">
        <v>988</v>
      </c>
      <c r="F5" s="707"/>
      <c r="G5" s="706" t="s">
        <v>988</v>
      </c>
      <c r="H5" s="707"/>
      <c r="I5" s="706" t="s">
        <v>987</v>
      </c>
      <c r="J5" s="706"/>
      <c r="K5" s="706" t="s">
        <v>987</v>
      </c>
      <c r="L5" s="708"/>
      <c r="M5" s="704"/>
      <c r="N5" s="704"/>
      <c r="O5" s="709"/>
      <c r="P5" s="704"/>
      <c r="Q5" s="704"/>
    </row>
    <row r="6" spans="1:17" ht="12.75">
      <c r="A6" s="710"/>
      <c r="B6" s="711"/>
      <c r="C6" s="712" t="s">
        <v>989</v>
      </c>
      <c r="D6" s="712"/>
      <c r="E6" s="712" t="s">
        <v>990</v>
      </c>
      <c r="F6" s="711"/>
      <c r="G6" s="712" t="s">
        <v>990</v>
      </c>
      <c r="H6" s="711"/>
      <c r="I6" s="712" t="s">
        <v>1087</v>
      </c>
      <c r="J6" s="712"/>
      <c r="K6" s="712" t="s">
        <v>1088</v>
      </c>
      <c r="L6" s="713"/>
      <c r="M6" s="711" t="s">
        <v>991</v>
      </c>
      <c r="N6" s="714"/>
      <c r="O6" s="714"/>
      <c r="P6" s="711"/>
      <c r="Q6" s="711"/>
    </row>
    <row r="7" spans="1:17" ht="12.75">
      <c r="A7" s="715" t="s">
        <v>992</v>
      </c>
      <c r="B7" s="716"/>
      <c r="C7" s="717" t="s">
        <v>993</v>
      </c>
      <c r="D7" s="717"/>
      <c r="E7" s="717" t="s">
        <v>994</v>
      </c>
      <c r="F7" s="716"/>
      <c r="G7" s="717" t="s">
        <v>995</v>
      </c>
      <c r="H7" s="716"/>
      <c r="I7" s="718" t="s">
        <v>994</v>
      </c>
      <c r="J7" s="718"/>
      <c r="K7" s="717" t="s">
        <v>995</v>
      </c>
      <c r="L7" s="719"/>
      <c r="M7" s="720" t="s">
        <v>996</v>
      </c>
      <c r="N7" s="720" t="s">
        <v>997</v>
      </c>
      <c r="O7" s="720" t="s">
        <v>998</v>
      </c>
      <c r="P7" s="720" t="s">
        <v>999</v>
      </c>
      <c r="Q7" s="720" t="s">
        <v>1000</v>
      </c>
    </row>
    <row r="8" spans="1:17" ht="12.75">
      <c r="A8" s="721"/>
      <c r="B8" s="722"/>
      <c r="C8" s="722"/>
      <c r="D8" s="722"/>
      <c r="E8" s="722"/>
      <c r="F8" s="722"/>
      <c r="G8" s="722"/>
      <c r="H8" s="722"/>
      <c r="I8" s="723"/>
      <c r="J8" s="723"/>
      <c r="K8" s="724"/>
      <c r="L8" s="725"/>
      <c r="M8" s="726"/>
      <c r="N8" s="726"/>
      <c r="O8" s="726"/>
      <c r="P8" s="726"/>
      <c r="Q8" s="726"/>
    </row>
    <row r="9" spans="1:17" ht="15">
      <c r="A9" s="727" t="s">
        <v>399</v>
      </c>
      <c r="B9" s="727"/>
      <c r="C9" s="728">
        <v>656</v>
      </c>
      <c r="D9" s="729"/>
      <c r="E9" s="728">
        <v>105</v>
      </c>
      <c r="F9" s="729"/>
      <c r="G9" s="728">
        <v>4</v>
      </c>
      <c r="H9" s="729"/>
      <c r="I9" s="728">
        <v>171</v>
      </c>
      <c r="J9" s="729"/>
      <c r="K9" s="728">
        <v>6</v>
      </c>
      <c r="L9" s="702"/>
      <c r="M9" s="788">
        <v>4.43</v>
      </c>
      <c r="N9" s="788">
        <v>7.22</v>
      </c>
      <c r="O9" s="788">
        <v>0.25</v>
      </c>
      <c r="P9" s="788">
        <v>1.63</v>
      </c>
      <c r="Q9" s="788">
        <v>0.06</v>
      </c>
    </row>
    <row r="10" spans="1:17" ht="15">
      <c r="A10" s="731" t="s">
        <v>400</v>
      </c>
      <c r="B10" s="731"/>
      <c r="C10" s="673">
        <v>63</v>
      </c>
      <c r="D10" s="732"/>
      <c r="E10" s="673">
        <v>9</v>
      </c>
      <c r="F10" s="732"/>
      <c r="G10" s="673">
        <v>0</v>
      </c>
      <c r="H10" s="732"/>
      <c r="I10" s="673">
        <v>10</v>
      </c>
      <c r="J10" s="732"/>
      <c r="K10" s="673">
        <v>0</v>
      </c>
      <c r="L10" s="733"/>
      <c r="M10" s="789">
        <v>3.07</v>
      </c>
      <c r="N10" s="789">
        <v>3.41</v>
      </c>
      <c r="O10" s="789">
        <v>0</v>
      </c>
      <c r="P10" s="789">
        <v>1.11</v>
      </c>
      <c r="Q10" s="789">
        <v>0</v>
      </c>
    </row>
    <row r="11" spans="1:17" ht="12.75">
      <c r="A11" s="697" t="s">
        <v>401</v>
      </c>
      <c r="B11" s="697"/>
      <c r="C11" s="728">
        <v>315</v>
      </c>
      <c r="D11" s="728"/>
      <c r="E11" s="728">
        <v>79</v>
      </c>
      <c r="F11" s="728"/>
      <c r="G11" s="728">
        <v>2</v>
      </c>
      <c r="H11" s="735"/>
      <c r="I11" s="728">
        <v>116</v>
      </c>
      <c r="J11" s="735"/>
      <c r="K11" s="728">
        <v>2</v>
      </c>
      <c r="L11" s="702"/>
      <c r="M11" s="788">
        <v>7.79</v>
      </c>
      <c r="N11" s="788">
        <v>11.44</v>
      </c>
      <c r="O11" s="788">
        <v>0.2</v>
      </c>
      <c r="P11" s="788">
        <v>1.47</v>
      </c>
      <c r="Q11" s="788">
        <v>0.03</v>
      </c>
    </row>
    <row r="12" spans="1:17" ht="15">
      <c r="A12" s="731" t="s">
        <v>295</v>
      </c>
      <c r="B12" s="731"/>
      <c r="C12" s="673">
        <v>575</v>
      </c>
      <c r="D12" s="732"/>
      <c r="E12" s="673">
        <v>95</v>
      </c>
      <c r="F12" s="732"/>
      <c r="G12" s="673">
        <v>2</v>
      </c>
      <c r="H12" s="732"/>
      <c r="I12" s="673">
        <v>146</v>
      </c>
      <c r="J12" s="732"/>
      <c r="K12" s="673">
        <v>3</v>
      </c>
      <c r="L12" s="733"/>
      <c r="M12" s="789">
        <v>4.66</v>
      </c>
      <c r="N12" s="789">
        <v>7.16</v>
      </c>
      <c r="O12" s="789">
        <v>0.15</v>
      </c>
      <c r="P12" s="789">
        <v>1.54</v>
      </c>
      <c r="Q12" s="789">
        <v>0.03</v>
      </c>
    </row>
    <row r="13" spans="1:17" ht="12.75">
      <c r="A13" s="697" t="s">
        <v>402</v>
      </c>
      <c r="B13" s="697"/>
      <c r="C13" s="728">
        <v>578</v>
      </c>
      <c r="D13" s="728"/>
      <c r="E13" s="728">
        <v>120</v>
      </c>
      <c r="F13" s="728"/>
      <c r="G13" s="728">
        <v>0</v>
      </c>
      <c r="H13" s="735"/>
      <c r="I13" s="728">
        <v>159</v>
      </c>
      <c r="J13" s="735"/>
      <c r="K13" s="728">
        <v>0</v>
      </c>
      <c r="L13" s="702"/>
      <c r="M13" s="788">
        <v>10.66</v>
      </c>
      <c r="N13" s="788">
        <v>14.13</v>
      </c>
      <c r="O13" s="788">
        <v>0</v>
      </c>
      <c r="P13" s="788">
        <v>1.33</v>
      </c>
      <c r="Q13" s="788">
        <v>0</v>
      </c>
    </row>
    <row r="14" spans="1:17" ht="15">
      <c r="A14" s="731" t="s">
        <v>1322</v>
      </c>
      <c r="B14" s="731"/>
      <c r="C14" s="673">
        <v>128</v>
      </c>
      <c r="D14" s="732"/>
      <c r="E14" s="673">
        <v>15</v>
      </c>
      <c r="F14" s="732"/>
      <c r="G14" s="673">
        <v>0</v>
      </c>
      <c r="H14" s="732"/>
      <c r="I14" s="673">
        <v>26</v>
      </c>
      <c r="J14" s="732"/>
      <c r="K14" s="673">
        <v>0</v>
      </c>
      <c r="L14" s="733"/>
      <c r="M14" s="734" t="s">
        <v>1323</v>
      </c>
      <c r="N14" s="734" t="s">
        <v>1324</v>
      </c>
      <c r="O14" s="734" t="s">
        <v>1325</v>
      </c>
      <c r="P14" s="734" t="s">
        <v>1326</v>
      </c>
      <c r="Q14" s="734" t="s">
        <v>1325</v>
      </c>
    </row>
    <row r="15" spans="1:17" ht="12.75">
      <c r="A15" s="727" t="s">
        <v>298</v>
      </c>
      <c r="B15" s="697"/>
      <c r="C15" s="737">
        <v>135</v>
      </c>
      <c r="D15" s="737"/>
      <c r="E15" s="737">
        <v>28</v>
      </c>
      <c r="F15" s="737"/>
      <c r="G15" s="737">
        <v>1</v>
      </c>
      <c r="H15" s="737"/>
      <c r="I15" s="737">
        <v>44</v>
      </c>
      <c r="J15" s="737"/>
      <c r="K15" s="737">
        <v>1</v>
      </c>
      <c r="L15" s="737"/>
      <c r="M15" s="738" t="s">
        <v>1327</v>
      </c>
      <c r="N15" s="738" t="s">
        <v>1328</v>
      </c>
      <c r="O15" s="738" t="s">
        <v>1329</v>
      </c>
      <c r="P15" s="730" t="s">
        <v>1330</v>
      </c>
      <c r="Q15" s="730" t="s">
        <v>1331</v>
      </c>
    </row>
    <row r="16" spans="1:17" ht="12.75">
      <c r="A16" s="731" t="s">
        <v>403</v>
      </c>
      <c r="B16" s="731"/>
      <c r="C16" s="736">
        <v>21</v>
      </c>
      <c r="D16" s="736"/>
      <c r="E16" s="739">
        <v>3</v>
      </c>
      <c r="F16" s="739"/>
      <c r="G16" s="739">
        <v>0</v>
      </c>
      <c r="H16" s="739"/>
      <c r="I16" s="739">
        <v>13</v>
      </c>
      <c r="J16" s="739"/>
      <c r="K16" s="739">
        <v>0</v>
      </c>
      <c r="L16" s="740"/>
      <c r="M16" s="741">
        <v>2.02</v>
      </c>
      <c r="N16" s="741">
        <v>2.02</v>
      </c>
      <c r="O16" s="741">
        <v>0</v>
      </c>
      <c r="P16" s="734">
        <v>1</v>
      </c>
      <c r="Q16" s="734">
        <v>0</v>
      </c>
    </row>
    <row r="17" spans="1:17" ht="12.75">
      <c r="A17" s="727" t="s">
        <v>300</v>
      </c>
      <c r="B17" s="727"/>
      <c r="C17" s="735">
        <v>54</v>
      </c>
      <c r="D17" s="735"/>
      <c r="E17" s="735">
        <v>13</v>
      </c>
      <c r="F17" s="735"/>
      <c r="G17" s="737">
        <v>0</v>
      </c>
      <c r="H17" s="735"/>
      <c r="I17" s="735">
        <v>17</v>
      </c>
      <c r="J17" s="735"/>
      <c r="K17" s="737">
        <v>0</v>
      </c>
      <c r="L17" s="702"/>
      <c r="M17" s="742">
        <v>5.88</v>
      </c>
      <c r="N17" s="742">
        <v>7.69</v>
      </c>
      <c r="O17" s="743">
        <v>0</v>
      </c>
      <c r="P17" s="730">
        <v>1.31</v>
      </c>
      <c r="Q17" s="730">
        <v>0</v>
      </c>
    </row>
    <row r="18" spans="1:17" ht="12.75">
      <c r="A18" s="731" t="s">
        <v>299</v>
      </c>
      <c r="B18" s="731"/>
      <c r="C18" s="736">
        <v>36</v>
      </c>
      <c r="D18" s="736"/>
      <c r="E18" s="736">
        <v>3</v>
      </c>
      <c r="F18" s="736"/>
      <c r="G18" s="736">
        <v>0</v>
      </c>
      <c r="H18" s="736"/>
      <c r="I18" s="736">
        <v>4</v>
      </c>
      <c r="J18" s="736"/>
      <c r="K18" s="736">
        <v>0</v>
      </c>
      <c r="L18" s="733"/>
      <c r="M18" s="790">
        <v>3.81</v>
      </c>
      <c r="N18" s="790">
        <v>5.08</v>
      </c>
      <c r="O18" s="790">
        <v>0</v>
      </c>
      <c r="P18" s="790">
        <v>1.33</v>
      </c>
      <c r="Q18" s="790">
        <v>0</v>
      </c>
    </row>
    <row r="19" spans="1:17" ht="12.75">
      <c r="A19" s="727" t="s">
        <v>1001</v>
      </c>
      <c r="B19" s="727"/>
      <c r="C19" s="735">
        <v>53</v>
      </c>
      <c r="D19" s="735"/>
      <c r="E19" s="735">
        <v>8</v>
      </c>
      <c r="F19" s="735"/>
      <c r="G19" s="735">
        <v>0</v>
      </c>
      <c r="H19" s="735"/>
      <c r="I19" s="735">
        <v>10</v>
      </c>
      <c r="J19" s="735"/>
      <c r="K19" s="735">
        <v>0</v>
      </c>
      <c r="L19" s="702"/>
      <c r="M19" s="744">
        <v>4.24</v>
      </c>
      <c r="N19" s="744">
        <v>5.31</v>
      </c>
      <c r="O19" s="744">
        <v>0</v>
      </c>
      <c r="P19" s="744">
        <v>1.25</v>
      </c>
      <c r="Q19" s="744">
        <v>0</v>
      </c>
    </row>
    <row r="20" spans="1:17" ht="12.75">
      <c r="A20" s="731" t="s">
        <v>404</v>
      </c>
      <c r="B20" s="731"/>
      <c r="C20" s="673">
        <v>85</v>
      </c>
      <c r="D20" s="673"/>
      <c r="E20" s="673">
        <v>20</v>
      </c>
      <c r="F20" s="673"/>
      <c r="G20" s="673">
        <v>0</v>
      </c>
      <c r="H20" s="736"/>
      <c r="I20" s="673">
        <v>34</v>
      </c>
      <c r="J20" s="736">
        <v>2</v>
      </c>
      <c r="K20" s="673">
        <v>0</v>
      </c>
      <c r="L20" s="733"/>
      <c r="M20" s="734" t="s">
        <v>1332</v>
      </c>
      <c r="N20" s="734" t="s">
        <v>1333</v>
      </c>
      <c r="O20" s="734" t="s">
        <v>1325</v>
      </c>
      <c r="P20" s="734" t="s">
        <v>1334</v>
      </c>
      <c r="Q20" s="734" t="s">
        <v>1325</v>
      </c>
    </row>
    <row r="21" spans="1:17" ht="12.75">
      <c r="A21" s="727" t="s">
        <v>405</v>
      </c>
      <c r="B21" s="727"/>
      <c r="C21" s="728">
        <v>69</v>
      </c>
      <c r="D21" s="728"/>
      <c r="E21" s="728">
        <v>20</v>
      </c>
      <c r="F21" s="728"/>
      <c r="G21" s="728">
        <v>3</v>
      </c>
      <c r="H21" s="735"/>
      <c r="I21" s="728">
        <v>31</v>
      </c>
      <c r="J21" s="735">
        <v>2</v>
      </c>
      <c r="K21" s="728">
        <v>4</v>
      </c>
      <c r="L21" s="702"/>
      <c r="M21" s="730" t="s">
        <v>1335</v>
      </c>
      <c r="N21" s="730" t="s">
        <v>1336</v>
      </c>
      <c r="O21" s="730" t="s">
        <v>1337</v>
      </c>
      <c r="P21" s="730" t="s">
        <v>1338</v>
      </c>
      <c r="Q21" s="730" t="s">
        <v>1329</v>
      </c>
    </row>
    <row r="22" spans="1:17" ht="12.75">
      <c r="A22" s="727"/>
      <c r="B22" s="727"/>
      <c r="C22" s="735"/>
      <c r="D22" s="735"/>
      <c r="E22" s="735"/>
      <c r="F22" s="735"/>
      <c r="G22" s="735"/>
      <c r="H22" s="735"/>
      <c r="I22" s="735"/>
      <c r="J22" s="735"/>
      <c r="K22" s="735"/>
      <c r="L22" s="702"/>
      <c r="M22" s="744"/>
      <c r="N22" s="744"/>
      <c r="O22" s="744"/>
      <c r="P22" s="744"/>
      <c r="Q22" s="744"/>
    </row>
    <row r="23" spans="1:17" ht="12.75">
      <c r="A23" s="745" t="s">
        <v>1104</v>
      </c>
      <c r="B23" s="745"/>
      <c r="C23" s="746">
        <f>SUM(C9:C21)</f>
        <v>2768</v>
      </c>
      <c r="D23" s="746"/>
      <c r="E23" s="746">
        <f>SUM(E9:E21)</f>
        <v>518</v>
      </c>
      <c r="F23" s="746"/>
      <c r="G23" s="746">
        <f>SUM(G9:G21)</f>
        <v>12</v>
      </c>
      <c r="H23" s="746"/>
      <c r="I23" s="746">
        <f>SUM(I9:I21)</f>
        <v>781</v>
      </c>
      <c r="J23" s="746"/>
      <c r="K23" s="746">
        <f>SUM(K9:K21)</f>
        <v>16</v>
      </c>
      <c r="L23" s="747"/>
      <c r="M23" s="748"/>
      <c r="N23" s="748"/>
      <c r="O23" s="748"/>
      <c r="P23" s="748"/>
      <c r="Q23" s="748"/>
    </row>
    <row r="24" spans="1:17" ht="12.75">
      <c r="A24" s="749"/>
      <c r="B24" s="749"/>
      <c r="C24" s="750"/>
      <c r="D24" s="750"/>
      <c r="E24" s="750"/>
      <c r="F24" s="750"/>
      <c r="G24" s="750"/>
      <c r="H24" s="750"/>
      <c r="I24" s="750"/>
      <c r="J24" s="750"/>
      <c r="K24" s="750"/>
      <c r="L24" s="751"/>
      <c r="M24" s="752"/>
      <c r="N24" s="752"/>
      <c r="O24" s="752"/>
      <c r="P24" s="752"/>
      <c r="Q24" s="752"/>
    </row>
    <row r="25" spans="1:17" ht="12.75">
      <c r="A25" s="727" t="s">
        <v>1002</v>
      </c>
      <c r="B25" s="727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</row>
    <row r="26" spans="1:17" ht="12.75">
      <c r="A26" s="697" t="s">
        <v>406</v>
      </c>
      <c r="B26" s="697"/>
      <c r="C26" s="702"/>
      <c r="D26" s="702"/>
      <c r="E26" s="702"/>
      <c r="F26" s="702"/>
      <c r="G26" s="702"/>
      <c r="H26" s="702"/>
      <c r="I26" s="753"/>
      <c r="J26" s="702"/>
      <c r="K26" s="702"/>
      <c r="L26" s="702"/>
      <c r="M26" s="702"/>
      <c r="N26" s="702"/>
      <c r="O26" s="702"/>
      <c r="P26" s="702"/>
      <c r="Q26" s="702"/>
    </row>
    <row r="27" spans="1:17" ht="12.75">
      <c r="A27" s="697" t="s">
        <v>407</v>
      </c>
      <c r="B27" s="697"/>
      <c r="C27" s="702"/>
      <c r="D27" s="702"/>
      <c r="E27" s="702"/>
      <c r="F27" s="702"/>
      <c r="G27" s="702"/>
      <c r="H27" s="702"/>
      <c r="I27" s="753"/>
      <c r="J27" s="702"/>
      <c r="K27" s="702"/>
      <c r="L27" s="702"/>
      <c r="M27" s="702"/>
      <c r="N27" s="702"/>
      <c r="O27" s="702"/>
      <c r="P27" s="702"/>
      <c r="Q27" s="702"/>
    </row>
    <row r="28" spans="1:17" ht="12.75">
      <c r="A28" s="697" t="s">
        <v>408</v>
      </c>
      <c r="B28" s="697"/>
      <c r="C28" s="702"/>
      <c r="D28" s="702"/>
      <c r="E28" s="702"/>
      <c r="F28" s="702"/>
      <c r="G28" s="702"/>
      <c r="H28" s="702"/>
      <c r="I28" s="753"/>
      <c r="J28" s="702"/>
      <c r="K28" s="702"/>
      <c r="L28" s="702"/>
      <c r="M28" s="702"/>
      <c r="N28" s="702"/>
      <c r="O28" s="702"/>
      <c r="P28" s="702"/>
      <c r="Q28" s="702"/>
    </row>
    <row r="29" spans="1:17" ht="12.75">
      <c r="A29" s="697" t="s">
        <v>1003</v>
      </c>
      <c r="B29" s="697"/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2"/>
      <c r="Q29" s="702"/>
    </row>
    <row r="30" spans="1:17" ht="12.75">
      <c r="A30" s="697" t="s">
        <v>1004</v>
      </c>
      <c r="B30" s="697"/>
      <c r="C30" s="702"/>
      <c r="D30" s="702"/>
      <c r="E30" s="702"/>
      <c r="F30" s="702"/>
      <c r="G30" s="702"/>
      <c r="H30" s="702"/>
      <c r="I30" s="702"/>
      <c r="J30" s="702"/>
      <c r="K30" s="702"/>
      <c r="L30" s="702"/>
      <c r="M30" s="702"/>
      <c r="N30" s="702"/>
      <c r="O30" s="702"/>
      <c r="P30" s="702"/>
      <c r="Q30" s="702"/>
    </row>
    <row r="31" spans="1:17" ht="12.75">
      <c r="A31" s="727" t="s">
        <v>409</v>
      </c>
      <c r="B31" s="697"/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  <c r="Q31" s="702"/>
    </row>
    <row r="32" spans="1:17" ht="12.75">
      <c r="A32" s="696" t="s">
        <v>373</v>
      </c>
      <c r="B32" s="698"/>
      <c r="C32" s="698"/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</row>
  </sheetData>
  <sheetProtection/>
  <printOptions/>
  <pageMargins left="0.1968503937007874" right="0.75" top="0.5511811023622047" bottom="0" header="0" footer="0"/>
  <pageSetup fitToHeight="1" fitToWidth="1" horizontalDpi="600" verticalDpi="600" orientation="portrait" paperSize="9" scale="84" r:id="rId1"/>
  <ignoredErrors>
    <ignoredError sqref="M14:Q2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zoomScalePageLayoutView="0" workbookViewId="0" topLeftCell="A1">
      <selection activeCell="G19" sqref="G19"/>
    </sheetView>
  </sheetViews>
  <sheetFormatPr defaultColWidth="6.28125" defaultRowHeight="12.75"/>
  <cols>
    <col min="1" max="1" width="13.00390625" style="343" customWidth="1"/>
    <col min="2" max="3" width="10.7109375" style="347" customWidth="1"/>
    <col min="4" max="4" width="9.7109375" style="347" customWidth="1"/>
    <col min="5" max="5" width="9.28125" style="347" customWidth="1"/>
    <col min="6" max="9" width="10.7109375" style="347" customWidth="1"/>
    <col min="10" max="10" width="1.1484375" style="2" customWidth="1"/>
    <col min="11" max="16384" width="6.28125" style="2" customWidth="1"/>
  </cols>
  <sheetData>
    <row r="1" spans="1:9" s="82" customFormat="1" ht="15">
      <c r="A1" s="344" t="s">
        <v>1155</v>
      </c>
      <c r="B1" s="347"/>
      <c r="C1" s="347"/>
      <c r="D1" s="347"/>
      <c r="E1" s="347"/>
      <c r="F1" s="347"/>
      <c r="G1" s="347"/>
      <c r="H1" s="347"/>
      <c r="I1" s="347"/>
    </row>
    <row r="2" spans="1:9" s="82" customFormat="1" ht="15">
      <c r="A2" s="344"/>
      <c r="B2" s="347"/>
      <c r="C2" s="347"/>
      <c r="D2" s="347"/>
      <c r="E2" s="347"/>
      <c r="F2" s="347"/>
      <c r="G2" s="347"/>
      <c r="H2" s="347"/>
      <c r="I2" s="347"/>
    </row>
    <row r="3" spans="1:9" s="349" customFormat="1" ht="11.25" customHeight="1">
      <c r="A3" s="348"/>
      <c r="B3" s="348"/>
      <c r="C3" s="348"/>
      <c r="D3" s="348"/>
      <c r="E3" s="348"/>
      <c r="F3" s="348"/>
      <c r="G3" s="348"/>
      <c r="H3" s="348"/>
      <c r="I3" s="348"/>
    </row>
    <row r="4" spans="1:10" s="350" customFormat="1" ht="39.75" customHeight="1">
      <c r="A4" s="521" t="s">
        <v>1073</v>
      </c>
      <c r="B4" s="522" t="s">
        <v>1069</v>
      </c>
      <c r="C4" s="522" t="s">
        <v>1070</v>
      </c>
      <c r="D4" s="522" t="s">
        <v>1075</v>
      </c>
      <c r="E4" s="522" t="s">
        <v>1074</v>
      </c>
      <c r="F4" s="522" t="s">
        <v>950</v>
      </c>
      <c r="G4" s="522" t="s">
        <v>973</v>
      </c>
      <c r="H4" s="522" t="s">
        <v>1148</v>
      </c>
      <c r="I4" s="522" t="s">
        <v>1147</v>
      </c>
      <c r="J4" s="523"/>
    </row>
    <row r="5" spans="1:10" s="350" customFormat="1" ht="12">
      <c r="A5" s="351"/>
      <c r="B5" s="352"/>
      <c r="C5" s="352"/>
      <c r="D5" s="352"/>
      <c r="E5" s="352"/>
      <c r="F5" s="352"/>
      <c r="G5" s="352"/>
      <c r="H5" s="352"/>
      <c r="I5" s="352"/>
      <c r="J5" s="353"/>
    </row>
    <row r="6" spans="1:10" s="350" customFormat="1" ht="12">
      <c r="A6" s="351">
        <v>1998</v>
      </c>
      <c r="B6" s="354">
        <v>3948</v>
      </c>
      <c r="C6" s="354">
        <v>297</v>
      </c>
      <c r="D6" s="354">
        <v>1820</v>
      </c>
      <c r="E6" s="354">
        <v>4375</v>
      </c>
      <c r="F6" s="354">
        <v>5477</v>
      </c>
      <c r="G6" s="354">
        <v>7007</v>
      </c>
      <c r="H6" s="355">
        <f aca="true" t="shared" si="0" ref="H6:H24">B6*100000000/(G6*F6*365)</f>
        <v>28.184440709045468</v>
      </c>
      <c r="I6" s="355">
        <f aca="true" t="shared" si="1" ref="I6:I19">C6*100000000/(G6*F6*365)</f>
        <v>2.1202580776561564</v>
      </c>
      <c r="J6" s="353"/>
    </row>
    <row r="7" spans="1:10" s="350" customFormat="1" ht="12">
      <c r="A7" s="524">
        <v>1999</v>
      </c>
      <c r="B7" s="525">
        <v>4132</v>
      </c>
      <c r="C7" s="525">
        <v>313</v>
      </c>
      <c r="D7" s="525">
        <v>1609</v>
      </c>
      <c r="E7" s="525">
        <v>4811</v>
      </c>
      <c r="F7" s="525">
        <v>5492</v>
      </c>
      <c r="G7" s="525">
        <v>7155</v>
      </c>
      <c r="H7" s="526">
        <f t="shared" si="0"/>
        <v>28.808940175495668</v>
      </c>
      <c r="I7" s="526">
        <f t="shared" si="1"/>
        <v>2.18228419044776</v>
      </c>
      <c r="J7" s="353"/>
    </row>
    <row r="8" spans="1:19" s="350" customFormat="1" ht="12.75">
      <c r="A8" s="351">
        <v>2000</v>
      </c>
      <c r="B8" s="354">
        <v>3894</v>
      </c>
      <c r="C8" s="354">
        <v>325</v>
      </c>
      <c r="D8" s="354">
        <v>1401</v>
      </c>
      <c r="E8" s="354">
        <v>4689</v>
      </c>
      <c r="F8" s="354">
        <v>5505</v>
      </c>
      <c r="G8" s="354">
        <v>7350</v>
      </c>
      <c r="H8" s="355">
        <f t="shared" si="0"/>
        <v>26.366860431604987</v>
      </c>
      <c r="I8" s="355">
        <f t="shared" si="1"/>
        <v>2.2006239445998</v>
      </c>
      <c r="J8" s="353"/>
      <c r="L8" s="774"/>
      <c r="N8" s="774"/>
      <c r="P8" s="774"/>
      <c r="Q8" s="774"/>
      <c r="R8" s="775"/>
      <c r="S8" s="774"/>
    </row>
    <row r="9" spans="1:19" s="350" customFormat="1" ht="12.75">
      <c r="A9" s="524">
        <v>2001</v>
      </c>
      <c r="B9" s="525">
        <v>3112</v>
      </c>
      <c r="C9" s="525">
        <v>300</v>
      </c>
      <c r="D9" s="525">
        <v>1271</v>
      </c>
      <c r="E9" s="525">
        <v>3660</v>
      </c>
      <c r="F9" s="525">
        <v>5545</v>
      </c>
      <c r="G9" s="525">
        <v>7525</v>
      </c>
      <c r="H9" s="526">
        <f t="shared" si="0"/>
        <v>20.433307423730994</v>
      </c>
      <c r="I9" s="526">
        <f t="shared" si="1"/>
        <v>1.9697918467606998</v>
      </c>
      <c r="J9" s="353"/>
      <c r="L9" s="774"/>
      <c r="N9" s="774"/>
      <c r="P9" s="774"/>
      <c r="Q9" s="774"/>
      <c r="R9" s="775"/>
      <c r="S9" s="774"/>
    </row>
    <row r="10" spans="1:19" s="350" customFormat="1" ht="12.75">
      <c r="A10" s="351">
        <v>2002</v>
      </c>
      <c r="B10" s="354">
        <v>2185</v>
      </c>
      <c r="C10" s="354">
        <v>265</v>
      </c>
      <c r="D10" s="354">
        <v>1067</v>
      </c>
      <c r="E10" s="354">
        <v>2541</v>
      </c>
      <c r="F10" s="354">
        <v>5585</v>
      </c>
      <c r="G10" s="354">
        <v>7705</v>
      </c>
      <c r="H10" s="355">
        <f t="shared" si="0"/>
        <v>13.91114112175415</v>
      </c>
      <c r="I10" s="355">
        <f t="shared" si="1"/>
        <v>1.6871635685422655</v>
      </c>
      <c r="J10" s="353"/>
      <c r="L10" s="774"/>
      <c r="N10" s="774"/>
      <c r="P10" s="774"/>
      <c r="Q10" s="774"/>
      <c r="R10" s="775"/>
      <c r="S10" s="774"/>
    </row>
    <row r="11" spans="1:19" s="350" customFormat="1" ht="12.75">
      <c r="A11" s="524">
        <v>2003</v>
      </c>
      <c r="B11" s="525">
        <v>2060</v>
      </c>
      <c r="C11" s="525">
        <v>258</v>
      </c>
      <c r="D11" s="525">
        <v>1104</v>
      </c>
      <c r="E11" s="525">
        <v>2304</v>
      </c>
      <c r="F11" s="525">
        <v>5621</v>
      </c>
      <c r="G11" s="525">
        <v>7615</v>
      </c>
      <c r="H11" s="526">
        <f t="shared" si="0"/>
        <v>13.185325726486365</v>
      </c>
      <c r="I11" s="526">
        <f t="shared" si="1"/>
        <v>1.651366037589069</v>
      </c>
      <c r="J11" s="353"/>
      <c r="L11" s="774"/>
      <c r="N11" s="774"/>
      <c r="P11" s="774"/>
      <c r="Q11" s="774"/>
      <c r="R11" s="775"/>
      <c r="S11" s="774"/>
    </row>
    <row r="12" spans="1:19" s="350" customFormat="1" ht="12.75">
      <c r="A12" s="351">
        <v>2004</v>
      </c>
      <c r="B12" s="354">
        <v>1777</v>
      </c>
      <c r="C12" s="354">
        <v>206</v>
      </c>
      <c r="D12" s="354">
        <v>939</v>
      </c>
      <c r="E12" s="354">
        <v>1999</v>
      </c>
      <c r="F12" s="354">
        <v>5704</v>
      </c>
      <c r="G12" s="354">
        <v>7831</v>
      </c>
      <c r="H12" s="355">
        <f t="shared" si="0"/>
        <v>10.899280323403005</v>
      </c>
      <c r="I12" s="355">
        <f t="shared" si="1"/>
        <v>1.2635068917394592</v>
      </c>
      <c r="J12" s="353"/>
      <c r="L12" s="774"/>
      <c r="N12" s="774"/>
      <c r="P12" s="774"/>
      <c r="Q12" s="774"/>
      <c r="R12" s="775"/>
      <c r="S12" s="774"/>
    </row>
    <row r="13" spans="1:19" s="350" customFormat="1" ht="12.75">
      <c r="A13" s="524">
        <v>2005</v>
      </c>
      <c r="B13" s="525">
        <v>1764</v>
      </c>
      <c r="C13" s="525">
        <v>204</v>
      </c>
      <c r="D13" s="525">
        <v>922</v>
      </c>
      <c r="E13" s="525">
        <v>1920</v>
      </c>
      <c r="F13" s="525">
        <v>5645</v>
      </c>
      <c r="G13" s="525">
        <v>7741</v>
      </c>
      <c r="H13" s="526">
        <f t="shared" si="0"/>
        <v>11.059734530602679</v>
      </c>
      <c r="I13" s="526">
        <f t="shared" si="1"/>
        <v>1.2790169185050717</v>
      </c>
      <c r="J13" s="353"/>
      <c r="L13" s="774"/>
      <c r="N13" s="774"/>
      <c r="P13" s="774"/>
      <c r="Q13" s="774"/>
      <c r="R13" s="775"/>
      <c r="S13" s="774"/>
    </row>
    <row r="14" spans="1:19" s="350" customFormat="1" ht="12.75">
      <c r="A14" s="351">
        <v>2006</v>
      </c>
      <c r="B14" s="354">
        <v>4085</v>
      </c>
      <c r="C14" s="354">
        <v>167</v>
      </c>
      <c r="D14" s="354">
        <v>690</v>
      </c>
      <c r="E14" s="354">
        <v>5023</v>
      </c>
      <c r="F14" s="354">
        <v>5622</v>
      </c>
      <c r="G14" s="354">
        <v>7292</v>
      </c>
      <c r="H14" s="355">
        <f t="shared" si="0"/>
        <v>27.299940164144857</v>
      </c>
      <c r="I14" s="355">
        <f t="shared" si="1"/>
        <v>1.1160563053640615</v>
      </c>
      <c r="J14" s="353"/>
      <c r="L14" s="774"/>
      <c r="N14" s="774"/>
      <c r="P14" s="774"/>
      <c r="Q14" s="774"/>
      <c r="R14" s="775"/>
      <c r="S14" s="774"/>
    </row>
    <row r="15" spans="1:19" s="350" customFormat="1" ht="12.75">
      <c r="A15" s="524">
        <v>2007</v>
      </c>
      <c r="B15" s="525">
        <v>5159</v>
      </c>
      <c r="C15" s="525">
        <v>211</v>
      </c>
      <c r="D15" s="525">
        <v>798</v>
      </c>
      <c r="E15" s="525">
        <v>6722</v>
      </c>
      <c r="F15" s="525">
        <v>5728</v>
      </c>
      <c r="G15" s="525">
        <v>8169</v>
      </c>
      <c r="H15" s="526">
        <f t="shared" si="0"/>
        <v>30.20652442565962</v>
      </c>
      <c r="I15" s="526">
        <f t="shared" si="1"/>
        <v>1.2354286981613065</v>
      </c>
      <c r="J15" s="353"/>
      <c r="L15" s="774"/>
      <c r="N15" s="774"/>
      <c r="P15" s="774"/>
      <c r="Q15" s="774"/>
      <c r="R15" s="775"/>
      <c r="S15" s="774"/>
    </row>
    <row r="16" spans="1:19" s="350" customFormat="1" ht="12.75">
      <c r="A16" s="351">
        <v>2008</v>
      </c>
      <c r="B16" s="354">
        <v>4220</v>
      </c>
      <c r="C16" s="354">
        <v>142</v>
      </c>
      <c r="D16" s="354">
        <v>572</v>
      </c>
      <c r="E16" s="354">
        <v>5526</v>
      </c>
      <c r="F16" s="354">
        <v>5791</v>
      </c>
      <c r="G16" s="354">
        <v>8057</v>
      </c>
      <c r="H16" s="355">
        <f t="shared" si="0"/>
        <v>24.77950678864403</v>
      </c>
      <c r="I16" s="355">
        <f t="shared" si="1"/>
        <v>0.8338127876747518</v>
      </c>
      <c r="J16" s="353"/>
      <c r="L16" s="774"/>
      <c r="N16" s="774"/>
      <c r="P16" s="774"/>
      <c r="Q16" s="774"/>
      <c r="R16" s="775"/>
      <c r="S16" s="774"/>
    </row>
    <row r="17" spans="1:19" s="350" customFormat="1" ht="12.75">
      <c r="A17" s="524">
        <v>2009</v>
      </c>
      <c r="B17" s="525">
        <v>3951</v>
      </c>
      <c r="C17" s="525">
        <v>152</v>
      </c>
      <c r="D17" s="525">
        <v>558</v>
      </c>
      <c r="E17" s="525">
        <v>5347</v>
      </c>
      <c r="F17" s="525">
        <v>5857</v>
      </c>
      <c r="G17" s="525">
        <v>8410</v>
      </c>
      <c r="H17" s="526">
        <f t="shared" si="0"/>
        <v>21.975711521436438</v>
      </c>
      <c r="I17" s="526">
        <f t="shared" si="1"/>
        <v>0.8454335994073243</v>
      </c>
      <c r="J17" s="353"/>
      <c r="L17" s="774"/>
      <c r="N17" s="774"/>
      <c r="P17" s="774"/>
      <c r="Q17" s="774"/>
      <c r="R17" s="775"/>
      <c r="S17" s="774"/>
    </row>
    <row r="18" spans="1:19" s="350" customFormat="1" ht="12.75">
      <c r="A18" s="351">
        <v>2010</v>
      </c>
      <c r="B18" s="318">
        <v>4276</v>
      </c>
      <c r="C18" s="318">
        <v>147</v>
      </c>
      <c r="D18" s="318">
        <v>507</v>
      </c>
      <c r="E18" s="318">
        <v>5533</v>
      </c>
      <c r="F18" s="318">
        <v>5963.058</v>
      </c>
      <c r="G18" s="318">
        <v>8133</v>
      </c>
      <c r="H18" s="319">
        <f t="shared" si="0"/>
        <v>24.15600029419392</v>
      </c>
      <c r="I18" s="319">
        <f t="shared" si="1"/>
        <v>0.8304331251745805</v>
      </c>
      <c r="J18" s="353"/>
      <c r="L18" s="774"/>
      <c r="N18" s="774"/>
      <c r="P18" s="774"/>
      <c r="Q18" s="774"/>
      <c r="R18" s="775"/>
      <c r="S18" s="774"/>
    </row>
    <row r="19" spans="1:19" s="350" customFormat="1" ht="12.75">
      <c r="A19" s="524">
        <v>2011</v>
      </c>
      <c r="B19" s="525">
        <v>4175</v>
      </c>
      <c r="C19" s="527">
        <v>114</v>
      </c>
      <c r="D19" s="527">
        <v>506</v>
      </c>
      <c r="E19" s="525">
        <v>5579</v>
      </c>
      <c r="F19" s="528">
        <v>6072</v>
      </c>
      <c r="G19" s="525">
        <v>7637</v>
      </c>
      <c r="H19" s="526">
        <f t="shared" si="0"/>
        <v>24.66658697261676</v>
      </c>
      <c r="I19" s="526">
        <f t="shared" si="1"/>
        <v>0.6735307580546852</v>
      </c>
      <c r="J19" s="353"/>
      <c r="L19" s="774"/>
      <c r="N19" s="774"/>
      <c r="P19" s="774"/>
      <c r="Q19" s="774"/>
      <c r="R19" s="775"/>
      <c r="S19" s="774"/>
    </row>
    <row r="20" spans="1:19" s="350" customFormat="1" ht="12.75">
      <c r="A20" s="351">
        <v>2012</v>
      </c>
      <c r="B20" s="318">
        <f>95+363+3199</f>
        <v>3657</v>
      </c>
      <c r="C20" s="317">
        <v>118</v>
      </c>
      <c r="D20" s="317">
        <v>486</v>
      </c>
      <c r="E20" s="318">
        <v>4976</v>
      </c>
      <c r="F20" s="289">
        <v>6081</v>
      </c>
      <c r="G20" s="318">
        <v>6934</v>
      </c>
      <c r="H20" s="319">
        <f t="shared" si="0"/>
        <v>23.76146728849926</v>
      </c>
      <c r="I20" s="319">
        <f>C20*100000000/(G20*F20*365)</f>
        <v>0.7667085425329268</v>
      </c>
      <c r="J20" s="353"/>
      <c r="L20" s="774"/>
      <c r="N20" s="774"/>
      <c r="P20" s="774"/>
      <c r="Q20" s="774"/>
      <c r="R20" s="775"/>
      <c r="S20" s="774"/>
    </row>
    <row r="21" spans="1:19" s="350" customFormat="1" ht="12.75">
      <c r="A21" s="524">
        <v>2013</v>
      </c>
      <c r="B21" s="525">
        <v>4276</v>
      </c>
      <c r="C21" s="527">
        <v>87</v>
      </c>
      <c r="D21" s="527">
        <v>527</v>
      </c>
      <c r="E21" s="525">
        <v>5805</v>
      </c>
      <c r="F21" s="528">
        <v>6070</v>
      </c>
      <c r="G21" s="525">
        <v>6968</v>
      </c>
      <c r="H21" s="526">
        <f t="shared" si="0"/>
        <v>27.697973728692155</v>
      </c>
      <c r="I21" s="526">
        <f>C21*100000000/(G21*F21*365)</f>
        <v>0.5635462381656262</v>
      </c>
      <c r="J21" s="353"/>
      <c r="L21" s="774"/>
      <c r="N21" s="774"/>
      <c r="P21" s="774"/>
      <c r="Q21" s="774"/>
      <c r="R21" s="775"/>
      <c r="S21" s="774"/>
    </row>
    <row r="22" spans="1:19" s="350" customFormat="1" ht="12.75">
      <c r="A22" s="351">
        <v>2014</v>
      </c>
      <c r="B22" s="318">
        <v>4249</v>
      </c>
      <c r="C22" s="317">
        <v>85</v>
      </c>
      <c r="D22" s="317">
        <v>502</v>
      </c>
      <c r="E22" s="318">
        <v>5758</v>
      </c>
      <c r="F22" s="289">
        <v>6084</v>
      </c>
      <c r="G22" s="318">
        <v>7231</v>
      </c>
      <c r="H22" s="319">
        <f t="shared" si="0"/>
        <v>26.461002859453565</v>
      </c>
      <c r="I22" s="319">
        <f>C22*100000000/(G22*F22*365)</f>
        <v>0.5293446088617446</v>
      </c>
      <c r="J22" s="353"/>
      <c r="L22" s="774"/>
      <c r="N22" s="774"/>
      <c r="P22" s="774"/>
      <c r="Q22" s="774"/>
      <c r="R22" s="775"/>
      <c r="S22" s="774"/>
    </row>
    <row r="23" spans="1:19" s="350" customFormat="1" ht="12.75">
      <c r="A23" s="524">
        <v>2015</v>
      </c>
      <c r="B23" s="525">
        <v>4454</v>
      </c>
      <c r="C23" s="527">
        <v>87</v>
      </c>
      <c r="D23" s="527">
        <v>518</v>
      </c>
      <c r="E23" s="525">
        <v>6000</v>
      </c>
      <c r="F23" s="528">
        <v>6012</v>
      </c>
      <c r="G23" s="525">
        <v>7418</v>
      </c>
      <c r="H23" s="526">
        <f t="shared" si="0"/>
        <v>27.36223366609864</v>
      </c>
      <c r="I23" s="526">
        <v>0.5344666207792056</v>
      </c>
      <c r="J23" s="353"/>
      <c r="L23" s="774"/>
      <c r="N23" s="774"/>
      <c r="P23" s="774"/>
      <c r="Q23" s="774"/>
      <c r="R23" s="775"/>
      <c r="S23" s="774"/>
    </row>
    <row r="24" spans="1:19" s="350" customFormat="1" ht="12.75">
      <c r="A24" s="351">
        <v>2016</v>
      </c>
      <c r="B24" s="318">
        <v>5091</v>
      </c>
      <c r="C24" s="317">
        <v>82</v>
      </c>
      <c r="D24" s="317">
        <v>553</v>
      </c>
      <c r="E24" s="318">
        <v>7041</v>
      </c>
      <c r="F24" s="289">
        <v>6007</v>
      </c>
      <c r="G24" s="318">
        <v>7679</v>
      </c>
      <c r="H24" s="319">
        <f t="shared" si="0"/>
        <v>30.237642846985093</v>
      </c>
      <c r="I24" s="319">
        <f>C24*100000000/(G24*F24*365)</f>
        <v>0.48703333597579607</v>
      </c>
      <c r="J24" s="353"/>
      <c r="L24" s="774"/>
      <c r="N24" s="774"/>
      <c r="P24" s="774"/>
      <c r="Q24" s="774"/>
      <c r="R24" s="775"/>
      <c r="S24" s="774"/>
    </row>
    <row r="25" spans="1:19" s="350" customFormat="1" ht="12.75">
      <c r="A25" s="524">
        <v>2017</v>
      </c>
      <c r="B25" s="525">
        <v>5122</v>
      </c>
      <c r="C25" s="527">
        <v>95</v>
      </c>
      <c r="D25" s="527">
        <v>485</v>
      </c>
      <c r="E25" s="525">
        <v>7083</v>
      </c>
      <c r="F25" s="528">
        <v>6012</v>
      </c>
      <c r="G25" s="525">
        <v>7679</v>
      </c>
      <c r="H25" s="768">
        <f>B25*100000000/(G25*F25*365)</f>
        <v>30.396464336441426</v>
      </c>
      <c r="I25" s="768">
        <f>C25*100000000/(G25*F25*365)</f>
        <v>0.5637766716052197</v>
      </c>
      <c r="J25" s="353"/>
      <c r="L25" s="774"/>
      <c r="N25" s="774"/>
      <c r="P25" s="774"/>
      <c r="Q25" s="774"/>
      <c r="R25" s="775"/>
      <c r="S25" s="774"/>
    </row>
    <row r="26" spans="1:19" s="350" customFormat="1" ht="12.75">
      <c r="A26" s="769">
        <v>2018</v>
      </c>
      <c r="B26" s="770">
        <v>5278</v>
      </c>
      <c r="C26" s="771">
        <v>104</v>
      </c>
      <c r="D26" s="771">
        <v>517</v>
      </c>
      <c r="E26" s="770">
        <v>7220</v>
      </c>
      <c r="F26" s="772">
        <v>5995</v>
      </c>
      <c r="G26" s="770">
        <v>7679</v>
      </c>
      <c r="H26" s="776">
        <f>B26*100000000/(G26*F26*365)</f>
        <v>31.411065353877156</v>
      </c>
      <c r="I26" s="777">
        <f>C26*100000000/(G26*F26*365)</f>
        <v>0.6189372483522593</v>
      </c>
      <c r="J26" s="353"/>
      <c r="L26" s="774"/>
      <c r="N26" s="774"/>
      <c r="P26" s="774"/>
      <c r="Q26" s="774"/>
      <c r="R26" s="775"/>
      <c r="S26" s="774"/>
    </row>
    <row r="27" spans="12:19" ht="12.75">
      <c r="L27" s="778"/>
      <c r="N27" s="778"/>
      <c r="P27" s="778"/>
      <c r="Q27" s="778"/>
      <c r="R27" s="775"/>
      <c r="S27" s="778"/>
    </row>
    <row r="28" ht="12">
      <c r="A28" s="644" t="s">
        <v>1149</v>
      </c>
    </row>
    <row r="29" ht="12">
      <c r="A29" s="644" t="s">
        <v>1150</v>
      </c>
    </row>
    <row r="30" ht="12">
      <c r="A30" s="349" t="s">
        <v>1162</v>
      </c>
    </row>
    <row r="31" spans="1:7" ht="12">
      <c r="A31" s="507" t="s">
        <v>1146</v>
      </c>
      <c r="E31" s="419"/>
      <c r="F31" s="419"/>
      <c r="G31" s="419"/>
    </row>
    <row r="32" ht="12">
      <c r="A32" s="304"/>
    </row>
    <row r="34" spans="1:5" ht="12">
      <c r="A34" s="356"/>
      <c r="B34" s="357"/>
      <c r="C34" s="357"/>
      <c r="D34" s="357"/>
      <c r="E34" s="357"/>
    </row>
    <row r="35" spans="1:15" s="347" customFormat="1" ht="12.75">
      <c r="A35" s="356"/>
      <c r="B35" s="357"/>
      <c r="C35" s="305"/>
      <c r="D35" s="305"/>
      <c r="E35" s="305"/>
      <c r="J35" s="2"/>
      <c r="K35" s="2"/>
      <c r="L35" s="2"/>
      <c r="M35" s="2"/>
      <c r="N35" s="2"/>
      <c r="O35" s="2"/>
    </row>
    <row r="36" spans="1:15" s="347" customFormat="1" ht="12.75">
      <c r="A36" s="358"/>
      <c r="B36" s="357"/>
      <c r="C36" s="357"/>
      <c r="D36" s="357"/>
      <c r="E36" s="357"/>
      <c r="G36" s="306"/>
      <c r="J36" s="2"/>
      <c r="K36" s="2"/>
      <c r="L36" s="2"/>
      <c r="M36" s="2"/>
      <c r="N36" s="2"/>
      <c r="O36" s="2"/>
    </row>
    <row r="37" spans="1:15" s="347" customFormat="1" ht="12">
      <c r="A37" s="358"/>
      <c r="B37" s="357"/>
      <c r="C37" s="357"/>
      <c r="D37" s="357"/>
      <c r="E37" s="357"/>
      <c r="J37" s="2"/>
      <c r="K37" s="2"/>
      <c r="L37" s="2"/>
      <c r="M37" s="2"/>
      <c r="N37" s="2"/>
      <c r="O37" s="2"/>
    </row>
    <row r="38" spans="1:15" s="347" customFormat="1" ht="12">
      <c r="A38" s="356"/>
      <c r="B38" s="357"/>
      <c r="C38" s="357"/>
      <c r="D38" s="357"/>
      <c r="E38" s="357"/>
      <c r="F38" s="304"/>
      <c r="J38" s="2"/>
      <c r="K38" s="2"/>
      <c r="L38" s="2"/>
      <c r="M38" s="2"/>
      <c r="N38" s="2"/>
      <c r="O38" s="2"/>
    </row>
    <row r="39" spans="1:15" s="347" customFormat="1" ht="12.75">
      <c r="A39" s="356"/>
      <c r="B39" s="357"/>
      <c r="C39" s="305"/>
      <c r="D39" s="305"/>
      <c r="E39" s="305"/>
      <c r="J39" s="2"/>
      <c r="K39" s="2"/>
      <c r="L39" s="2"/>
      <c r="M39" s="2"/>
      <c r="N39" s="2"/>
      <c r="O39" s="2"/>
    </row>
    <row r="40" spans="1:15" s="347" customFormat="1" ht="12">
      <c r="A40" s="358"/>
      <c r="B40" s="357"/>
      <c r="C40" s="357"/>
      <c r="D40" s="357"/>
      <c r="E40" s="357"/>
      <c r="J40" s="2"/>
      <c r="K40" s="2"/>
      <c r="L40" s="2"/>
      <c r="M40" s="2"/>
      <c r="N40" s="2"/>
      <c r="O40" s="2"/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1"/>
  <sheetViews>
    <sheetView showGridLines="0" zoomScalePageLayoutView="0" workbookViewId="0" topLeftCell="A1">
      <pane ySplit="6" topLeftCell="A7" activePane="bottomLeft" state="frozen"/>
      <selection pane="topLeft" activeCell="G19" sqref="G19"/>
      <selection pane="bottomLeft" activeCell="G19" sqref="G19"/>
    </sheetView>
  </sheetViews>
  <sheetFormatPr defaultColWidth="12.57421875" defaultRowHeight="12" customHeight="1"/>
  <cols>
    <col min="1" max="1" width="7.7109375" style="2" customWidth="1"/>
    <col min="2" max="6" width="12.421875" style="2" customWidth="1"/>
    <col min="7" max="7" width="12.421875" style="3" customWidth="1"/>
    <col min="8" max="8" width="9.140625" style="0" customWidth="1"/>
    <col min="9" max="9" width="12.57421875" style="2" customWidth="1"/>
    <col min="10" max="11" width="12.57421875" style="2" hidden="1" customWidth="1"/>
    <col min="12" max="16384" width="12.57421875" style="2" customWidth="1"/>
  </cols>
  <sheetData>
    <row r="1" ht="15">
      <c r="A1" s="1" t="s">
        <v>1298</v>
      </c>
    </row>
    <row r="2" ht="12.75" customHeight="1">
      <c r="A2" s="1"/>
    </row>
    <row r="3" spans="1:7" ht="12" customHeight="1">
      <c r="A3" s="4" t="s">
        <v>1006</v>
      </c>
      <c r="B3" s="5"/>
      <c r="C3" s="5"/>
      <c r="D3" s="5"/>
      <c r="E3" s="5"/>
      <c r="F3" s="5"/>
      <c r="G3" s="6"/>
    </row>
    <row r="4" spans="1:7" ht="18" customHeight="1">
      <c r="A4" s="452"/>
      <c r="B4" s="453" t="s">
        <v>1095</v>
      </c>
      <c r="C4" s="454"/>
      <c r="D4" s="454"/>
      <c r="E4" s="454"/>
      <c r="F4" s="454"/>
      <c r="G4" s="453"/>
    </row>
    <row r="5" spans="1:9" s="9" customFormat="1" ht="15" customHeight="1">
      <c r="A5" s="455"/>
      <c r="B5" s="456"/>
      <c r="C5" s="456"/>
      <c r="D5" s="457" t="s">
        <v>977</v>
      </c>
      <c r="E5" s="458" t="s">
        <v>1097</v>
      </c>
      <c r="F5" s="458" t="s">
        <v>1098</v>
      </c>
      <c r="G5" s="456"/>
      <c r="I5" s="8"/>
    </row>
    <row r="6" spans="1:9" s="9" customFormat="1" ht="15" customHeight="1">
      <c r="A6" s="459"/>
      <c r="B6" s="444" t="s">
        <v>1099</v>
      </c>
      <c r="C6" s="444" t="s">
        <v>1100</v>
      </c>
      <c r="D6" s="460" t="s">
        <v>1012</v>
      </c>
      <c r="E6" s="444" t="s">
        <v>293</v>
      </c>
      <c r="F6" s="444" t="s">
        <v>1102</v>
      </c>
      <c r="G6" s="444" t="s">
        <v>1104</v>
      </c>
      <c r="I6" s="8"/>
    </row>
    <row r="7" spans="1:19" ht="15" customHeight="1">
      <c r="A7" s="10"/>
      <c r="B7" s="11"/>
      <c r="C7" s="11"/>
      <c r="D7" s="11"/>
      <c r="E7" s="11"/>
      <c r="F7" s="11"/>
      <c r="G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9" customFormat="1" ht="15" customHeight="1" hidden="1">
      <c r="A8" s="14">
        <v>1986</v>
      </c>
      <c r="B8" s="15">
        <v>1801166</v>
      </c>
      <c r="C8" s="15">
        <v>215851</v>
      </c>
      <c r="D8" s="15">
        <v>303227</v>
      </c>
      <c r="E8" s="15">
        <v>6392</v>
      </c>
      <c r="F8" s="15">
        <v>5068</v>
      </c>
      <c r="G8" s="12">
        <v>2349764</v>
      </c>
      <c r="I8" s="16"/>
      <c r="J8" s="16"/>
      <c r="K8" s="16"/>
      <c r="L8" s="16"/>
      <c r="M8" s="16"/>
      <c r="N8" s="16"/>
      <c r="O8" s="16"/>
      <c r="P8" s="16"/>
      <c r="Q8" s="17"/>
      <c r="R8" s="18"/>
      <c r="S8" s="18"/>
    </row>
    <row r="9" spans="1:9" s="9" customFormat="1" ht="15" customHeight="1" hidden="1">
      <c r="A9" s="14">
        <v>1987</v>
      </c>
      <c r="B9" s="15">
        <v>1912378</v>
      </c>
      <c r="C9" s="15">
        <v>230465</v>
      </c>
      <c r="D9" s="15">
        <v>332947</v>
      </c>
      <c r="E9" s="15">
        <f>5177+20467</f>
        <v>25644</v>
      </c>
      <c r="F9" s="15">
        <v>6733</v>
      </c>
      <c r="G9" s="244">
        <f aca="true" t="shared" si="0" ref="G9:G40">SUM(B9:F9)</f>
        <v>2508167</v>
      </c>
      <c r="I9" s="22"/>
    </row>
    <row r="10" spans="1:9" s="9" customFormat="1" ht="15" customHeight="1">
      <c r="A10" s="14">
        <v>1988</v>
      </c>
      <c r="B10" s="15">
        <v>1982762</v>
      </c>
      <c r="C10" s="15">
        <v>247990</v>
      </c>
      <c r="D10" s="15">
        <v>357621</v>
      </c>
      <c r="E10" s="15">
        <f>5204+23653</f>
        <v>28857</v>
      </c>
      <c r="F10" s="15">
        <v>7168</v>
      </c>
      <c r="G10" s="244">
        <f t="shared" si="0"/>
        <v>2624398</v>
      </c>
      <c r="I10" s="22"/>
    </row>
    <row r="11" spans="1:9" s="9" customFormat="1" ht="15" customHeight="1">
      <c r="A11" s="462">
        <v>1989</v>
      </c>
      <c r="B11" s="463">
        <v>2097402</v>
      </c>
      <c r="C11" s="463">
        <v>273487</v>
      </c>
      <c r="D11" s="463">
        <v>391413</v>
      </c>
      <c r="E11" s="463">
        <f>5424+27521</f>
        <v>32945</v>
      </c>
      <c r="F11" s="463">
        <v>8271</v>
      </c>
      <c r="G11" s="464">
        <f t="shared" si="0"/>
        <v>2803518</v>
      </c>
      <c r="I11" s="22"/>
    </row>
    <row r="12" spans="1:9" s="9" customFormat="1" ht="15" customHeight="1">
      <c r="A12" s="14">
        <v>1990</v>
      </c>
      <c r="B12" s="15">
        <v>2151472</v>
      </c>
      <c r="C12" s="15">
        <v>300090</v>
      </c>
      <c r="D12" s="15">
        <v>420406</v>
      </c>
      <c r="E12" s="15">
        <f>5529+31500</f>
        <v>37029</v>
      </c>
      <c r="F12" s="15">
        <v>9125</v>
      </c>
      <c r="G12" s="244">
        <f t="shared" si="0"/>
        <v>2918122</v>
      </c>
      <c r="I12" s="22"/>
    </row>
    <row r="13" spans="1:9" s="9" customFormat="1" ht="15" customHeight="1">
      <c r="A13" s="462">
        <v>1991</v>
      </c>
      <c r="B13" s="463">
        <v>2223496</v>
      </c>
      <c r="C13" s="463">
        <v>329285</v>
      </c>
      <c r="D13" s="463">
        <v>450962</v>
      </c>
      <c r="E13" s="463">
        <f>5635+35999</f>
        <v>41634</v>
      </c>
      <c r="F13" s="463">
        <v>9995</v>
      </c>
      <c r="G13" s="464">
        <f t="shared" si="0"/>
        <v>3055372</v>
      </c>
      <c r="I13" s="22"/>
    </row>
    <row r="14" spans="1:9" s="9" customFormat="1" ht="15" customHeight="1">
      <c r="A14" s="14">
        <v>1992</v>
      </c>
      <c r="B14" s="15">
        <v>2291422</v>
      </c>
      <c r="C14" s="15">
        <v>352336</v>
      </c>
      <c r="D14" s="15">
        <v>478556</v>
      </c>
      <c r="E14" s="15">
        <f>5761+39564</f>
        <v>45325</v>
      </c>
      <c r="F14" s="15">
        <v>10506</v>
      </c>
      <c r="G14" s="244">
        <f t="shared" si="0"/>
        <v>3178145</v>
      </c>
      <c r="I14" s="22"/>
    </row>
    <row r="15" spans="1:9" s="9" customFormat="1" ht="15" customHeight="1">
      <c r="A15" s="462">
        <v>1993</v>
      </c>
      <c r="B15" s="465">
        <v>2326138</v>
      </c>
      <c r="C15" s="465">
        <v>360417</v>
      </c>
      <c r="D15" s="465">
        <v>492229</v>
      </c>
      <c r="E15" s="465">
        <f>5684+41535</f>
        <v>47219</v>
      </c>
      <c r="F15" s="465">
        <v>10626</v>
      </c>
      <c r="G15" s="464">
        <f t="shared" si="0"/>
        <v>3236629</v>
      </c>
      <c r="I15" s="22"/>
    </row>
    <row r="16" spans="1:9" s="9" customFormat="1" ht="15" customHeight="1">
      <c r="A16" s="14">
        <v>1994</v>
      </c>
      <c r="B16" s="19">
        <v>2345392</v>
      </c>
      <c r="C16" s="19">
        <v>362911</v>
      </c>
      <c r="D16" s="19">
        <v>505276</v>
      </c>
      <c r="E16" s="19">
        <f>5653+44066</f>
        <v>49719</v>
      </c>
      <c r="F16" s="19">
        <v>11105</v>
      </c>
      <c r="G16" s="244">
        <f t="shared" si="0"/>
        <v>3274403</v>
      </c>
      <c r="I16" s="22"/>
    </row>
    <row r="17" spans="1:9" s="9" customFormat="1" ht="15" customHeight="1">
      <c r="A17" s="462">
        <v>1995</v>
      </c>
      <c r="B17" s="466">
        <v>2411685</v>
      </c>
      <c r="C17" s="466">
        <v>366685</v>
      </c>
      <c r="D17" s="466">
        <v>523156</v>
      </c>
      <c r="E17" s="466">
        <f>5677+47457</f>
        <v>53134</v>
      </c>
      <c r="F17" s="466">
        <v>12239</v>
      </c>
      <c r="G17" s="464">
        <f t="shared" si="0"/>
        <v>3366899</v>
      </c>
      <c r="I17" s="22"/>
    </row>
    <row r="18" spans="1:9" s="9" customFormat="1" ht="15" customHeight="1">
      <c r="A18" s="20">
        <v>1996</v>
      </c>
      <c r="B18" s="21">
        <v>2482878</v>
      </c>
      <c r="C18" s="21">
        <v>368669</v>
      </c>
      <c r="D18" s="21">
        <v>541166</v>
      </c>
      <c r="E18" s="21">
        <f>5853+50370</f>
        <v>56223</v>
      </c>
      <c r="F18" s="21">
        <v>13301</v>
      </c>
      <c r="G18" s="244">
        <f t="shared" si="0"/>
        <v>3462237</v>
      </c>
      <c r="I18" s="22"/>
    </row>
    <row r="19" spans="1:14" s="9" customFormat="1" ht="15" customHeight="1">
      <c r="A19" s="467">
        <v>1997</v>
      </c>
      <c r="B19" s="468">
        <v>2556357</v>
      </c>
      <c r="C19" s="468">
        <v>374293</v>
      </c>
      <c r="D19" s="468">
        <v>562656</v>
      </c>
      <c r="E19" s="468">
        <v>60388</v>
      </c>
      <c r="F19" s="468">
        <v>14830</v>
      </c>
      <c r="G19" s="464">
        <f t="shared" si="0"/>
        <v>3568524</v>
      </c>
      <c r="I19" s="792"/>
      <c r="J19" s="791"/>
      <c r="K19" s="791"/>
      <c r="L19" s="791"/>
      <c r="M19" s="791"/>
      <c r="N19" s="791"/>
    </row>
    <row r="20" spans="1:14" s="9" customFormat="1" ht="15" customHeight="1">
      <c r="A20" s="20">
        <v>1998</v>
      </c>
      <c r="B20" s="243">
        <v>2672297</v>
      </c>
      <c r="C20" s="243">
        <v>385863</v>
      </c>
      <c r="D20" s="243">
        <v>589951</v>
      </c>
      <c r="E20" s="243">
        <v>65645</v>
      </c>
      <c r="F20" s="243">
        <v>16693</v>
      </c>
      <c r="G20" s="244">
        <f t="shared" si="0"/>
        <v>3730449</v>
      </c>
      <c r="I20" s="792"/>
      <c r="J20" s="791"/>
      <c r="K20" s="791"/>
      <c r="L20" s="791"/>
      <c r="M20" s="791"/>
      <c r="N20" s="791"/>
    </row>
    <row r="21" spans="1:14" s="9" customFormat="1" ht="15" customHeight="1">
      <c r="A21" s="467">
        <v>1999</v>
      </c>
      <c r="B21" s="468">
        <v>2785301</v>
      </c>
      <c r="C21" s="468">
        <v>397908</v>
      </c>
      <c r="D21" s="468">
        <v>621569</v>
      </c>
      <c r="E21" s="468">
        <v>72034</v>
      </c>
      <c r="F21" s="468">
        <v>18500</v>
      </c>
      <c r="G21" s="464">
        <f t="shared" si="0"/>
        <v>3895312</v>
      </c>
      <c r="I21" s="792"/>
      <c r="J21" s="791"/>
      <c r="K21" s="791"/>
      <c r="L21" s="791"/>
      <c r="M21" s="791"/>
      <c r="N21" s="791"/>
    </row>
    <row r="22" spans="1:14" s="9" customFormat="1" ht="15" customHeight="1">
      <c r="A22" s="20">
        <v>2000</v>
      </c>
      <c r="B22" s="243">
        <v>2850226</v>
      </c>
      <c r="C22" s="243">
        <v>408060</v>
      </c>
      <c r="D22" s="243">
        <v>640358</v>
      </c>
      <c r="E22" s="243">
        <v>78594</v>
      </c>
      <c r="F22" s="243">
        <v>20183</v>
      </c>
      <c r="G22" s="244">
        <f t="shared" si="0"/>
        <v>3997421</v>
      </c>
      <c r="I22" s="278"/>
      <c r="J22" s="271"/>
      <c r="K22" s="271"/>
      <c r="L22" s="271"/>
      <c r="M22" s="271"/>
      <c r="N22" s="274"/>
    </row>
    <row r="23" spans="1:14" s="9" customFormat="1" ht="15" customHeight="1">
      <c r="A23" s="467">
        <v>2001</v>
      </c>
      <c r="B23" s="468">
        <v>2935388</v>
      </c>
      <c r="C23" s="468">
        <v>417754</v>
      </c>
      <c r="D23" s="468">
        <v>661094</v>
      </c>
      <c r="E23" s="468">
        <v>85948</v>
      </c>
      <c r="F23" s="468">
        <v>21893</v>
      </c>
      <c r="G23" s="464">
        <f t="shared" si="0"/>
        <v>4122077</v>
      </c>
      <c r="I23" s="278"/>
      <c r="J23" s="271"/>
      <c r="K23" s="271"/>
      <c r="L23" s="279"/>
      <c r="M23" s="271"/>
      <c r="N23" s="274"/>
    </row>
    <row r="24" spans="1:14" s="9" customFormat="1" ht="15" customHeight="1">
      <c r="A24" s="20">
        <v>2002</v>
      </c>
      <c r="B24" s="243">
        <v>2998346</v>
      </c>
      <c r="C24" s="243">
        <v>425002</v>
      </c>
      <c r="D24" s="243">
        <v>677648</v>
      </c>
      <c r="E24" s="243">
        <v>94418</v>
      </c>
      <c r="F24" s="243">
        <v>23421</v>
      </c>
      <c r="G24" s="244">
        <f t="shared" si="0"/>
        <v>4218835</v>
      </c>
      <c r="I24" s="278"/>
      <c r="J24" s="271"/>
      <c r="K24" s="271"/>
      <c r="L24" s="271"/>
      <c r="M24" s="271"/>
      <c r="N24" s="274"/>
    </row>
    <row r="25" spans="1:14" s="9" customFormat="1" ht="15" customHeight="1">
      <c r="A25" s="467">
        <v>2003</v>
      </c>
      <c r="B25" s="468">
        <v>2984676</v>
      </c>
      <c r="C25" s="468">
        <v>420333</v>
      </c>
      <c r="D25" s="468">
        <v>685195</v>
      </c>
      <c r="E25" s="468">
        <v>105307</v>
      </c>
      <c r="F25" s="468">
        <v>24695</v>
      </c>
      <c r="G25" s="464">
        <f t="shared" si="0"/>
        <v>4220206</v>
      </c>
      <c r="I25" s="278"/>
      <c r="J25" s="271"/>
      <c r="K25" s="271"/>
      <c r="L25" s="271"/>
      <c r="M25" s="271"/>
      <c r="N25" s="274"/>
    </row>
    <row r="26" spans="1:14" s="9" customFormat="1" ht="15" customHeight="1">
      <c r="A26" s="20">
        <v>2004</v>
      </c>
      <c r="B26" s="243">
        <v>3089787</v>
      </c>
      <c r="C26" s="243">
        <v>443115</v>
      </c>
      <c r="D26" s="243">
        <v>714600</v>
      </c>
      <c r="E26" s="243">
        <v>117793</v>
      </c>
      <c r="F26" s="243">
        <v>26048</v>
      </c>
      <c r="G26" s="244">
        <f t="shared" si="0"/>
        <v>4391343</v>
      </c>
      <c r="I26" s="278"/>
      <c r="J26" s="271"/>
      <c r="K26" s="271"/>
      <c r="L26" s="271"/>
      <c r="M26" s="271"/>
      <c r="N26" s="274"/>
    </row>
    <row r="27" spans="1:14" s="9" customFormat="1" ht="15" customHeight="1">
      <c r="A27" s="467">
        <v>2005</v>
      </c>
      <c r="B27" s="468">
        <v>3180916</v>
      </c>
      <c r="C27" s="468">
        <v>486345</v>
      </c>
      <c r="D27" s="468">
        <v>748346</v>
      </c>
      <c r="E27" s="468">
        <v>130009</v>
      </c>
      <c r="F27" s="468">
        <v>27101</v>
      </c>
      <c r="G27" s="464">
        <f t="shared" si="0"/>
        <v>4572717</v>
      </c>
      <c r="I27" s="278"/>
      <c r="J27" s="271"/>
      <c r="K27" s="271"/>
      <c r="L27" s="271"/>
      <c r="M27" s="271"/>
      <c r="N27" s="274"/>
    </row>
    <row r="28" spans="1:14" s="9" customFormat="1" ht="15" customHeight="1">
      <c r="A28" s="20">
        <v>2006</v>
      </c>
      <c r="B28" s="243">
        <v>3192024</v>
      </c>
      <c r="C28" s="243">
        <v>532312</v>
      </c>
      <c r="D28" s="243">
        <v>772562</v>
      </c>
      <c r="E28" s="243">
        <v>141665</v>
      </c>
      <c r="F28" s="243">
        <v>27153</v>
      </c>
      <c r="G28" s="244">
        <f t="shared" si="0"/>
        <v>4665716</v>
      </c>
      <c r="I28" s="280"/>
      <c r="J28" s="274"/>
      <c r="K28" s="274"/>
      <c r="L28" s="274"/>
      <c r="M28" s="274"/>
      <c r="N28" s="274"/>
    </row>
    <row r="29" spans="1:9" s="9" customFormat="1" ht="15" customHeight="1">
      <c r="A29" s="467">
        <v>2007</v>
      </c>
      <c r="B29" s="468">
        <v>3332852</v>
      </c>
      <c r="C29" s="468">
        <v>587466</v>
      </c>
      <c r="D29" s="468">
        <v>817435</v>
      </c>
      <c r="E29" s="468">
        <v>155346</v>
      </c>
      <c r="F29" s="468">
        <v>29568</v>
      </c>
      <c r="G29" s="464">
        <f t="shared" si="0"/>
        <v>4922667</v>
      </c>
      <c r="I29" s="22"/>
    </row>
    <row r="30" spans="1:17" s="9" customFormat="1" ht="15" customHeight="1">
      <c r="A30" s="20">
        <v>2008</v>
      </c>
      <c r="B30" s="243">
        <v>3370338</v>
      </c>
      <c r="C30" s="243">
        <v>623903</v>
      </c>
      <c r="D30" s="243">
        <v>821311</v>
      </c>
      <c r="E30" s="243">
        <v>159612</v>
      </c>
      <c r="F30" s="243">
        <v>29715</v>
      </c>
      <c r="G30" s="244">
        <f t="shared" si="0"/>
        <v>5004879</v>
      </c>
      <c r="I30" s="22"/>
      <c r="L30" s="324"/>
      <c r="M30" s="324"/>
      <c r="N30" s="324"/>
      <c r="O30" s="324"/>
      <c r="P30" s="324"/>
      <c r="Q30" s="325"/>
    </row>
    <row r="31" spans="1:9" s="9" customFormat="1" ht="15" customHeight="1">
      <c r="A31" s="467">
        <v>2009</v>
      </c>
      <c r="B31" s="468">
        <v>3346653</v>
      </c>
      <c r="C31" s="468">
        <v>645479</v>
      </c>
      <c r="D31" s="468">
        <v>812590</v>
      </c>
      <c r="E31" s="468">
        <v>160779</v>
      </c>
      <c r="F31" s="468">
        <v>28607</v>
      </c>
      <c r="G31" s="464">
        <f t="shared" si="0"/>
        <v>4994108</v>
      </c>
      <c r="I31" s="22"/>
    </row>
    <row r="32" spans="1:9" s="9" customFormat="1" ht="15" customHeight="1">
      <c r="A32" s="20">
        <v>2010</v>
      </c>
      <c r="B32" s="38">
        <v>3355779</v>
      </c>
      <c r="C32" s="38">
        <v>666714</v>
      </c>
      <c r="D32" s="38">
        <v>804166</v>
      </c>
      <c r="E32" s="38">
        <v>159919</v>
      </c>
      <c r="F32" s="38">
        <v>27553</v>
      </c>
      <c r="G32" s="244">
        <f t="shared" si="0"/>
        <v>5014131</v>
      </c>
      <c r="I32" s="22"/>
    </row>
    <row r="33" spans="1:9" s="9" customFormat="1" ht="15" customHeight="1">
      <c r="A33" s="467">
        <v>2011</v>
      </c>
      <c r="B33" s="469">
        <f aca="true" t="shared" si="1" ref="B33:F35">B77+B121+B165+B209</f>
        <v>3368069</v>
      </c>
      <c r="C33" s="469">
        <f t="shared" si="1"/>
        <v>685613</v>
      </c>
      <c r="D33" s="469">
        <f t="shared" si="1"/>
        <v>796718</v>
      </c>
      <c r="E33" s="469">
        <f t="shared" si="1"/>
        <v>159781</v>
      </c>
      <c r="F33" s="469">
        <f t="shared" si="1"/>
        <v>26702</v>
      </c>
      <c r="G33" s="464">
        <f t="shared" si="0"/>
        <v>5036883</v>
      </c>
      <c r="I33" s="22"/>
    </row>
    <row r="34" spans="1:9" s="9" customFormat="1" ht="15" customHeight="1">
      <c r="A34" s="20">
        <v>2012</v>
      </c>
      <c r="B34" s="38">
        <f t="shared" si="1"/>
        <v>3359732</v>
      </c>
      <c r="C34" s="38">
        <f t="shared" si="1"/>
        <v>696763</v>
      </c>
      <c r="D34" s="38">
        <f t="shared" si="1"/>
        <v>786357</v>
      </c>
      <c r="E34" s="38">
        <f t="shared" si="1"/>
        <v>157309</v>
      </c>
      <c r="F34" s="38">
        <f t="shared" si="1"/>
        <v>25211</v>
      </c>
      <c r="G34" s="244">
        <f t="shared" si="0"/>
        <v>5025372</v>
      </c>
      <c r="I34" s="22"/>
    </row>
    <row r="35" spans="1:9" s="9" customFormat="1" ht="15" customHeight="1">
      <c r="A35" s="467">
        <v>2013</v>
      </c>
      <c r="B35" s="469">
        <f t="shared" si="1"/>
        <v>3326900</v>
      </c>
      <c r="C35" s="469">
        <f t="shared" si="1"/>
        <v>706117</v>
      </c>
      <c r="D35" s="469">
        <f t="shared" si="1"/>
        <v>771408</v>
      </c>
      <c r="E35" s="469">
        <f t="shared" si="1"/>
        <v>155008</v>
      </c>
      <c r="F35" s="469">
        <f t="shared" si="1"/>
        <v>24314</v>
      </c>
      <c r="G35" s="464">
        <f t="shared" si="0"/>
        <v>4983747</v>
      </c>
      <c r="I35" s="22"/>
    </row>
    <row r="36" spans="1:9" s="9" customFormat="1" ht="15" customHeight="1">
      <c r="A36" s="20">
        <v>2014</v>
      </c>
      <c r="B36" s="38">
        <v>3309596</v>
      </c>
      <c r="C36" s="38">
        <v>723258</v>
      </c>
      <c r="D36" s="38">
        <v>760580</v>
      </c>
      <c r="E36" s="38">
        <v>155726</v>
      </c>
      <c r="F36" s="38">
        <v>24325</v>
      </c>
      <c r="G36" s="244">
        <f t="shared" si="0"/>
        <v>4973485</v>
      </c>
      <c r="I36" s="22"/>
    </row>
    <row r="37" spans="1:9" s="9" customFormat="1" ht="15" customHeight="1">
      <c r="A37" s="467">
        <v>2015</v>
      </c>
      <c r="B37" s="469">
        <v>3360868</v>
      </c>
      <c r="C37" s="469">
        <v>748927</v>
      </c>
      <c r="D37" s="469">
        <v>764793</v>
      </c>
      <c r="E37" s="469">
        <v>152556</v>
      </c>
      <c r="F37" s="469">
        <v>25354</v>
      </c>
      <c r="G37" s="464">
        <f t="shared" si="0"/>
        <v>5052498</v>
      </c>
      <c r="I37" s="22"/>
    </row>
    <row r="38" spans="1:9" s="9" customFormat="1" ht="15" customHeight="1">
      <c r="A38" s="20">
        <v>2016</v>
      </c>
      <c r="B38" s="38">
        <v>3436271</v>
      </c>
      <c r="C38" s="38">
        <v>782564</v>
      </c>
      <c r="D38" s="38">
        <v>770452</v>
      </c>
      <c r="E38" s="38">
        <v>155673</v>
      </c>
      <c r="F38" s="38">
        <v>26632</v>
      </c>
      <c r="G38" s="244">
        <f t="shared" si="0"/>
        <v>5171592</v>
      </c>
      <c r="I38" s="22"/>
    </row>
    <row r="39" spans="1:9" s="9" customFormat="1" ht="15" customHeight="1">
      <c r="A39" s="467" t="s">
        <v>1153</v>
      </c>
      <c r="B39" s="469">
        <v>3481340</v>
      </c>
      <c r="C39" s="469">
        <v>807080</v>
      </c>
      <c r="D39" s="469">
        <v>747474</v>
      </c>
      <c r="E39" s="469">
        <f>9074+150332</f>
        <v>159406</v>
      </c>
      <c r="F39" s="469">
        <v>27475</v>
      </c>
      <c r="G39" s="464">
        <f t="shared" si="0"/>
        <v>5222775</v>
      </c>
      <c r="I39" s="22"/>
    </row>
    <row r="40" spans="1:9" s="9" customFormat="1" ht="15" customHeight="1">
      <c r="A40" s="20">
        <v>2018</v>
      </c>
      <c r="B40" s="38">
        <v>3527529</v>
      </c>
      <c r="C40" s="38">
        <v>834704</v>
      </c>
      <c r="D40" s="38">
        <v>761521</v>
      </c>
      <c r="E40" s="38">
        <v>163812</v>
      </c>
      <c r="F40" s="38">
        <v>27994</v>
      </c>
      <c r="G40" s="244">
        <f t="shared" si="0"/>
        <v>5315560</v>
      </c>
      <c r="I40" s="22"/>
    </row>
    <row r="41" spans="1:7" ht="15" customHeight="1">
      <c r="A41" s="24"/>
      <c r="B41" s="122"/>
      <c r="C41" s="122"/>
      <c r="D41" s="122"/>
      <c r="E41" s="122"/>
      <c r="F41" s="122"/>
      <c r="G41" s="26"/>
    </row>
    <row r="42" spans="1:7" ht="15" customHeight="1">
      <c r="A42" s="27"/>
      <c r="B42" s="28"/>
      <c r="C42" s="28"/>
      <c r="D42" s="28"/>
      <c r="E42" s="28"/>
      <c r="F42" s="28"/>
      <c r="G42" s="29"/>
    </row>
    <row r="43" ht="12.75" customHeight="1">
      <c r="A43" s="506" t="s">
        <v>1299</v>
      </c>
    </row>
    <row r="44" spans="4:6" s="80" customFormat="1" ht="12.75">
      <c r="D44" s="251"/>
      <c r="E44" s="251"/>
      <c r="F44" s="252"/>
    </row>
    <row r="45" ht="15">
      <c r="A45" s="1" t="s">
        <v>1300</v>
      </c>
    </row>
    <row r="46" ht="12.75" customHeight="1">
      <c r="A46" s="1"/>
    </row>
    <row r="47" spans="1:7" ht="12" customHeight="1">
      <c r="A47" s="4" t="s">
        <v>1006</v>
      </c>
      <c r="B47" s="5"/>
      <c r="C47" s="5"/>
      <c r="D47" s="5"/>
      <c r="E47" s="5"/>
      <c r="F47" s="5"/>
      <c r="G47" s="6"/>
    </row>
    <row r="48" spans="1:7" ht="15" customHeight="1">
      <c r="A48" s="452"/>
      <c r="B48" s="453" t="s">
        <v>1105</v>
      </c>
      <c r="C48" s="454"/>
      <c r="D48" s="454"/>
      <c r="E48" s="454"/>
      <c r="F48" s="454"/>
      <c r="G48" s="453"/>
    </row>
    <row r="49" spans="1:7" s="9" customFormat="1" ht="15.75">
      <c r="A49" s="455"/>
      <c r="B49" s="456"/>
      <c r="C49" s="456"/>
      <c r="D49" s="458" t="s">
        <v>1096</v>
      </c>
      <c r="E49" s="458" t="s">
        <v>1097</v>
      </c>
      <c r="F49" s="458" t="s">
        <v>1098</v>
      </c>
      <c r="G49" s="456"/>
    </row>
    <row r="50" spans="1:7" s="9" customFormat="1" ht="12" customHeight="1">
      <c r="A50" s="459"/>
      <c r="B50" s="444" t="s">
        <v>1099</v>
      </c>
      <c r="C50" s="444" t="s">
        <v>1100</v>
      </c>
      <c r="D50" s="444" t="s">
        <v>1101</v>
      </c>
      <c r="E50" s="461" t="s">
        <v>372</v>
      </c>
      <c r="F50" s="444" t="s">
        <v>1102</v>
      </c>
      <c r="G50" s="444" t="s">
        <v>1104</v>
      </c>
    </row>
    <row r="51" ht="15" customHeight="1"/>
    <row r="52" spans="1:7" ht="15" customHeight="1" hidden="1">
      <c r="A52" s="20">
        <v>1986</v>
      </c>
      <c r="B52" s="15">
        <v>1380483</v>
      </c>
      <c r="C52" s="15">
        <v>162820</v>
      </c>
      <c r="D52" s="15">
        <v>199604</v>
      </c>
      <c r="E52" s="15">
        <v>3977</v>
      </c>
      <c r="F52" s="15">
        <v>3842</v>
      </c>
      <c r="G52" s="12">
        <v>1763111</v>
      </c>
    </row>
    <row r="53" spans="1:7" ht="15" customHeight="1" hidden="1">
      <c r="A53" s="20">
        <v>1987</v>
      </c>
      <c r="B53" s="245">
        <v>1465102</v>
      </c>
      <c r="C53" s="245">
        <v>174497</v>
      </c>
      <c r="D53" s="245">
        <v>220839</v>
      </c>
      <c r="E53" s="245">
        <f>14069+3898</f>
        <v>17967</v>
      </c>
      <c r="F53" s="245">
        <v>3936</v>
      </c>
      <c r="G53" s="246">
        <f aca="true" t="shared" si="2" ref="G53:G84">SUM(B53:F53)</f>
        <v>1882341</v>
      </c>
    </row>
    <row r="54" spans="1:7" ht="15" customHeight="1">
      <c r="A54" s="20">
        <v>1988</v>
      </c>
      <c r="B54" s="245">
        <v>1512632</v>
      </c>
      <c r="C54" s="245">
        <v>187540</v>
      </c>
      <c r="D54" s="245">
        <v>236848</v>
      </c>
      <c r="E54" s="245">
        <f>16154+3946</f>
        <v>20100</v>
      </c>
      <c r="F54" s="245">
        <v>3926</v>
      </c>
      <c r="G54" s="246">
        <f t="shared" si="2"/>
        <v>1961046</v>
      </c>
    </row>
    <row r="55" spans="1:7" ht="15" customHeight="1">
      <c r="A55" s="467">
        <v>1989</v>
      </c>
      <c r="B55" s="470">
        <v>1600855</v>
      </c>
      <c r="C55" s="470">
        <v>207570</v>
      </c>
      <c r="D55" s="470">
        <v>261046</v>
      </c>
      <c r="E55" s="470">
        <f>18793+4107</f>
        <v>22900</v>
      </c>
      <c r="F55" s="470">
        <v>4563</v>
      </c>
      <c r="G55" s="471">
        <f t="shared" si="2"/>
        <v>2096934</v>
      </c>
    </row>
    <row r="56" spans="1:7" ht="15" customHeight="1">
      <c r="A56" s="20">
        <v>1990</v>
      </c>
      <c r="B56" s="245">
        <v>1633966</v>
      </c>
      <c r="C56" s="245">
        <v>228837</v>
      </c>
      <c r="D56" s="245">
        <v>281368</v>
      </c>
      <c r="E56" s="245">
        <f>21749+4226</f>
        <v>25975</v>
      </c>
      <c r="F56" s="245">
        <v>5221</v>
      </c>
      <c r="G56" s="246">
        <f t="shared" si="2"/>
        <v>2175367</v>
      </c>
    </row>
    <row r="57" spans="1:7" ht="15" customHeight="1">
      <c r="A57" s="467">
        <v>1991</v>
      </c>
      <c r="B57" s="470">
        <v>1686012</v>
      </c>
      <c r="C57" s="470">
        <v>252377</v>
      </c>
      <c r="D57" s="470">
        <v>303567</v>
      </c>
      <c r="E57" s="470">
        <f>25113+4337</f>
        <v>29450</v>
      </c>
      <c r="F57" s="470">
        <v>5809</v>
      </c>
      <c r="G57" s="471">
        <f t="shared" si="2"/>
        <v>2277215</v>
      </c>
    </row>
    <row r="58" spans="1:7" ht="15" customHeight="1">
      <c r="A58" s="20">
        <v>1992</v>
      </c>
      <c r="B58" s="245">
        <v>1734081</v>
      </c>
      <c r="C58" s="245">
        <v>271340</v>
      </c>
      <c r="D58" s="245">
        <v>323073</v>
      </c>
      <c r="E58" s="245">
        <f>27689+4419</f>
        <v>32108</v>
      </c>
      <c r="F58" s="245">
        <v>6120</v>
      </c>
      <c r="G58" s="246">
        <f t="shared" si="2"/>
        <v>2366722</v>
      </c>
    </row>
    <row r="59" spans="1:7" ht="15" customHeight="1">
      <c r="A59" s="467">
        <v>1993</v>
      </c>
      <c r="B59" s="472">
        <v>1755133</v>
      </c>
      <c r="C59" s="472">
        <v>277803</v>
      </c>
      <c r="D59" s="472">
        <v>332423</v>
      </c>
      <c r="E59" s="472">
        <f>28915+4366</f>
        <v>33281</v>
      </c>
      <c r="F59" s="472">
        <v>6147</v>
      </c>
      <c r="G59" s="471">
        <f t="shared" si="2"/>
        <v>2404787</v>
      </c>
    </row>
    <row r="60" spans="1:7" ht="15" customHeight="1">
      <c r="A60" s="20">
        <v>1994</v>
      </c>
      <c r="B60" s="39">
        <v>1763803</v>
      </c>
      <c r="C60" s="39">
        <v>279386</v>
      </c>
      <c r="D60" s="39">
        <v>340762</v>
      </c>
      <c r="E60" s="39">
        <f>30643+4313</f>
        <v>34956</v>
      </c>
      <c r="F60" s="39">
        <v>6458</v>
      </c>
      <c r="G60" s="246">
        <f t="shared" si="2"/>
        <v>2425365</v>
      </c>
    </row>
    <row r="61" spans="1:7" ht="15" customHeight="1">
      <c r="A61" s="467">
        <v>1995</v>
      </c>
      <c r="B61" s="473">
        <v>1810937</v>
      </c>
      <c r="C61" s="473">
        <v>282202</v>
      </c>
      <c r="D61" s="473">
        <v>352669</v>
      </c>
      <c r="E61" s="473">
        <f>32752+4304</f>
        <v>37056</v>
      </c>
      <c r="F61" s="473">
        <v>7132</v>
      </c>
      <c r="G61" s="471">
        <f t="shared" si="2"/>
        <v>2489996</v>
      </c>
    </row>
    <row r="62" spans="1:7" ht="15" customHeight="1">
      <c r="A62" s="20">
        <v>1996</v>
      </c>
      <c r="B62" s="38">
        <v>1859516</v>
      </c>
      <c r="C62" s="38">
        <v>283643</v>
      </c>
      <c r="D62" s="38">
        <v>364424</v>
      </c>
      <c r="E62" s="38">
        <f>34459+4381</f>
        <v>38840</v>
      </c>
      <c r="F62" s="38">
        <v>7778</v>
      </c>
      <c r="G62" s="246">
        <f t="shared" si="2"/>
        <v>2554201</v>
      </c>
    </row>
    <row r="63" spans="1:7" ht="15" customHeight="1">
      <c r="A63" s="467">
        <v>1997</v>
      </c>
      <c r="B63" s="468">
        <v>1910277</v>
      </c>
      <c r="C63" s="468">
        <v>287994</v>
      </c>
      <c r="D63" s="468">
        <v>378746</v>
      </c>
      <c r="E63" s="468">
        <v>41355</v>
      </c>
      <c r="F63" s="468">
        <v>8620</v>
      </c>
      <c r="G63" s="471">
        <f t="shared" si="2"/>
        <v>2626992</v>
      </c>
    </row>
    <row r="64" spans="1:7" ht="15" customHeight="1">
      <c r="A64" s="20">
        <v>1998</v>
      </c>
      <c r="B64" s="243">
        <v>1995295</v>
      </c>
      <c r="C64" s="243">
        <v>297707</v>
      </c>
      <c r="D64" s="243">
        <v>397284</v>
      </c>
      <c r="E64" s="243">
        <v>44614</v>
      </c>
      <c r="F64" s="243">
        <v>9705</v>
      </c>
      <c r="G64" s="246">
        <f t="shared" si="2"/>
        <v>2744605</v>
      </c>
    </row>
    <row r="65" spans="1:7" ht="15" customHeight="1">
      <c r="A65" s="467">
        <v>1999</v>
      </c>
      <c r="B65" s="468">
        <v>2075125</v>
      </c>
      <c r="C65" s="468">
        <v>307293</v>
      </c>
      <c r="D65" s="468">
        <v>419105</v>
      </c>
      <c r="E65" s="468">
        <v>48513</v>
      </c>
      <c r="F65" s="468">
        <v>10841</v>
      </c>
      <c r="G65" s="471">
        <f t="shared" si="2"/>
        <v>2860877</v>
      </c>
    </row>
    <row r="66" spans="1:7" ht="15" customHeight="1">
      <c r="A66" s="20">
        <v>2000</v>
      </c>
      <c r="B66" s="243">
        <v>2119416</v>
      </c>
      <c r="C66" s="243">
        <v>315243</v>
      </c>
      <c r="D66" s="243">
        <v>430467</v>
      </c>
      <c r="E66" s="243">
        <v>52593</v>
      </c>
      <c r="F66" s="243">
        <v>11863</v>
      </c>
      <c r="G66" s="246">
        <f t="shared" si="2"/>
        <v>2929582</v>
      </c>
    </row>
    <row r="67" spans="1:7" ht="15" customHeight="1">
      <c r="A67" s="467">
        <v>2001</v>
      </c>
      <c r="B67" s="468">
        <v>2177272</v>
      </c>
      <c r="C67" s="468">
        <v>322601</v>
      </c>
      <c r="D67" s="468">
        <v>443321</v>
      </c>
      <c r="E67" s="468">
        <v>57209</v>
      </c>
      <c r="F67" s="468">
        <v>12792</v>
      </c>
      <c r="G67" s="471">
        <f t="shared" si="2"/>
        <v>3013195</v>
      </c>
    </row>
    <row r="68" spans="1:7" ht="15" customHeight="1">
      <c r="A68" s="20">
        <v>2002</v>
      </c>
      <c r="B68" s="243">
        <v>2216286</v>
      </c>
      <c r="C68" s="243">
        <v>327967</v>
      </c>
      <c r="D68" s="243">
        <v>452593</v>
      </c>
      <c r="E68" s="243">
        <v>62428</v>
      </c>
      <c r="F68" s="243">
        <v>13524</v>
      </c>
      <c r="G68" s="246">
        <f t="shared" si="2"/>
        <v>3072798</v>
      </c>
    </row>
    <row r="69" spans="1:7" ht="15" customHeight="1">
      <c r="A69" s="467">
        <v>2003</v>
      </c>
      <c r="B69" s="468">
        <v>2188576</v>
      </c>
      <c r="C69" s="468">
        <v>323088</v>
      </c>
      <c r="D69" s="468">
        <v>453892</v>
      </c>
      <c r="E69" s="468">
        <v>69831</v>
      </c>
      <c r="F69" s="468">
        <v>14189</v>
      </c>
      <c r="G69" s="471">
        <f t="shared" si="2"/>
        <v>3049576</v>
      </c>
    </row>
    <row r="70" spans="1:7" ht="15" customHeight="1">
      <c r="A70" s="20">
        <v>2004</v>
      </c>
      <c r="B70" s="243">
        <v>2257575</v>
      </c>
      <c r="C70" s="243">
        <v>340121</v>
      </c>
      <c r="D70" s="243">
        <v>471184</v>
      </c>
      <c r="E70" s="243">
        <v>77856</v>
      </c>
      <c r="F70" s="243">
        <v>14971</v>
      </c>
      <c r="G70" s="246">
        <f t="shared" si="2"/>
        <v>3161707</v>
      </c>
    </row>
    <row r="71" spans="1:7" ht="15" customHeight="1">
      <c r="A71" s="467">
        <v>2005</v>
      </c>
      <c r="B71" s="468">
        <v>2314850</v>
      </c>
      <c r="C71" s="468">
        <v>372657</v>
      </c>
      <c r="D71" s="468">
        <v>491929</v>
      </c>
      <c r="E71" s="468">
        <v>85945</v>
      </c>
      <c r="F71" s="468">
        <v>15723</v>
      </c>
      <c r="G71" s="471">
        <f t="shared" si="2"/>
        <v>3281104</v>
      </c>
    </row>
    <row r="72" spans="1:7" ht="15" customHeight="1">
      <c r="A72" s="20">
        <v>2006</v>
      </c>
      <c r="B72" s="243">
        <v>2300767</v>
      </c>
      <c r="C72" s="243">
        <v>406217</v>
      </c>
      <c r="D72" s="243">
        <v>504798</v>
      </c>
      <c r="E72" s="243">
        <v>92971</v>
      </c>
      <c r="F72" s="243">
        <v>15871</v>
      </c>
      <c r="G72" s="246">
        <f t="shared" si="2"/>
        <v>3320624</v>
      </c>
    </row>
    <row r="73" spans="1:7" ht="15" customHeight="1">
      <c r="A73" s="467">
        <v>2007</v>
      </c>
      <c r="B73" s="468">
        <v>2396656</v>
      </c>
      <c r="C73" s="468">
        <v>448026</v>
      </c>
      <c r="D73" s="468">
        <v>533995</v>
      </c>
      <c r="E73" s="468">
        <v>101786</v>
      </c>
      <c r="F73" s="468">
        <v>17106</v>
      </c>
      <c r="G73" s="471">
        <f t="shared" si="2"/>
        <v>3497569</v>
      </c>
    </row>
    <row r="74" spans="1:7" ht="15" customHeight="1">
      <c r="A74" s="20">
        <v>2008</v>
      </c>
      <c r="B74" s="243">
        <v>2418960</v>
      </c>
      <c r="C74" s="243">
        <v>475557</v>
      </c>
      <c r="D74" s="243">
        <v>535417</v>
      </c>
      <c r="E74" s="243">
        <v>104822</v>
      </c>
      <c r="F74" s="243">
        <v>17264</v>
      </c>
      <c r="G74" s="246">
        <f t="shared" si="2"/>
        <v>3552020</v>
      </c>
    </row>
    <row r="75" spans="1:7" ht="15" customHeight="1">
      <c r="A75" s="467">
        <v>2009</v>
      </c>
      <c r="B75" s="468">
        <v>2393478</v>
      </c>
      <c r="C75" s="468">
        <v>492163</v>
      </c>
      <c r="D75" s="468">
        <v>527238</v>
      </c>
      <c r="E75" s="468">
        <v>105585</v>
      </c>
      <c r="F75" s="468">
        <v>16615</v>
      </c>
      <c r="G75" s="471">
        <f t="shared" si="2"/>
        <v>3535079</v>
      </c>
    </row>
    <row r="76" spans="1:7" ht="15" customHeight="1">
      <c r="A76" s="20">
        <v>2010</v>
      </c>
      <c r="B76" s="243">
        <v>2395166</v>
      </c>
      <c r="C76" s="243">
        <v>508898</v>
      </c>
      <c r="D76" s="243">
        <v>519286</v>
      </c>
      <c r="E76" s="243">
        <v>104196</v>
      </c>
      <c r="F76" s="243">
        <v>16078</v>
      </c>
      <c r="G76" s="246">
        <f t="shared" si="2"/>
        <v>3543624</v>
      </c>
    </row>
    <row r="77" spans="1:7" ht="15" customHeight="1">
      <c r="A77" s="467">
        <v>2011</v>
      </c>
      <c r="B77" s="474">
        <v>2402574</v>
      </c>
      <c r="C77" s="474">
        <v>523361</v>
      </c>
      <c r="D77" s="474">
        <v>513009</v>
      </c>
      <c r="E77" s="474">
        <f>6111+97125</f>
        <v>103236</v>
      </c>
      <c r="F77" s="474">
        <v>15490</v>
      </c>
      <c r="G77" s="471">
        <f t="shared" si="2"/>
        <v>3557670</v>
      </c>
    </row>
    <row r="78" spans="1:9" s="9" customFormat="1" ht="15" customHeight="1">
      <c r="A78" s="308">
        <v>2012</v>
      </c>
      <c r="B78" s="309">
        <v>2393017</v>
      </c>
      <c r="C78" s="309">
        <v>531934</v>
      </c>
      <c r="D78" s="309">
        <v>504822</v>
      </c>
      <c r="E78" s="309">
        <v>101298</v>
      </c>
      <c r="F78" s="309">
        <v>14692</v>
      </c>
      <c r="G78" s="246">
        <f t="shared" si="2"/>
        <v>3545763</v>
      </c>
      <c r="I78" s="22"/>
    </row>
    <row r="79" spans="1:9" s="9" customFormat="1" ht="15" customHeight="1">
      <c r="A79" s="475">
        <v>2013</v>
      </c>
      <c r="B79" s="476">
        <v>2366511</v>
      </c>
      <c r="C79" s="476">
        <v>538926</v>
      </c>
      <c r="D79" s="476">
        <v>493579</v>
      </c>
      <c r="E79" s="476">
        <v>98618</v>
      </c>
      <c r="F79" s="476">
        <v>14092</v>
      </c>
      <c r="G79" s="471">
        <f t="shared" si="2"/>
        <v>3511726</v>
      </c>
      <c r="I79" s="22"/>
    </row>
    <row r="80" spans="1:9" s="9" customFormat="1" ht="15" customHeight="1">
      <c r="A80" s="308">
        <v>2014</v>
      </c>
      <c r="B80" s="30">
        <v>2347766</v>
      </c>
      <c r="C80" s="30">
        <v>551787</v>
      </c>
      <c r="D80" s="30">
        <v>484340</v>
      </c>
      <c r="E80" s="30">
        <v>97910</v>
      </c>
      <c r="F80" s="30">
        <v>14046</v>
      </c>
      <c r="G80" s="246">
        <f t="shared" si="2"/>
        <v>3495849</v>
      </c>
      <c r="I80" s="22"/>
    </row>
    <row r="81" spans="1:9" s="9" customFormat="1" ht="15" customHeight="1">
      <c r="A81" s="475">
        <v>2015</v>
      </c>
      <c r="B81" s="476">
        <v>2385649</v>
      </c>
      <c r="C81" s="476">
        <v>571878</v>
      </c>
      <c r="D81" s="476">
        <v>488554</v>
      </c>
      <c r="E81" s="476">
        <v>97416</v>
      </c>
      <c r="F81" s="476">
        <v>14535</v>
      </c>
      <c r="G81" s="471">
        <f t="shared" si="2"/>
        <v>3558032</v>
      </c>
      <c r="I81" s="22"/>
    </row>
    <row r="82" spans="1:9" s="9" customFormat="1" ht="15" customHeight="1">
      <c r="A82" s="308">
        <v>2016</v>
      </c>
      <c r="B82" s="30">
        <v>2437180</v>
      </c>
      <c r="C82" s="30">
        <v>598837</v>
      </c>
      <c r="D82" s="30">
        <v>493881</v>
      </c>
      <c r="E82" s="30">
        <v>99326</v>
      </c>
      <c r="F82" s="30">
        <v>15250</v>
      </c>
      <c r="G82" s="246">
        <f t="shared" si="2"/>
        <v>3644474</v>
      </c>
      <c r="I82" s="22"/>
    </row>
    <row r="83" spans="1:9" s="9" customFormat="1" ht="15" customHeight="1">
      <c r="A83" s="467" t="s">
        <v>1153</v>
      </c>
      <c r="B83" s="476">
        <v>2449399</v>
      </c>
      <c r="C83" s="476">
        <v>616946</v>
      </c>
      <c r="D83" s="476">
        <v>477369</v>
      </c>
      <c r="E83" s="476">
        <f>6263+95428</f>
        <v>101691</v>
      </c>
      <c r="F83" s="476">
        <v>15726</v>
      </c>
      <c r="G83" s="471">
        <f t="shared" si="2"/>
        <v>3661131</v>
      </c>
      <c r="I83" s="22"/>
    </row>
    <row r="84" spans="1:9" s="9" customFormat="1" ht="15" customHeight="1">
      <c r="A84" s="308">
        <v>2018</v>
      </c>
      <c r="B84" s="30">
        <v>2476810</v>
      </c>
      <c r="C84" s="30">
        <v>637531</v>
      </c>
      <c r="D84" s="30">
        <v>483316</v>
      </c>
      <c r="E84" s="30">
        <v>105382</v>
      </c>
      <c r="F84" s="30">
        <v>16168</v>
      </c>
      <c r="G84" s="246">
        <f t="shared" si="2"/>
        <v>3719207</v>
      </c>
      <c r="I84" s="22"/>
    </row>
    <row r="85" spans="1:7" ht="15" customHeight="1">
      <c r="A85" s="5"/>
      <c r="B85" s="5"/>
      <c r="C85" s="5"/>
      <c r="D85" s="5"/>
      <c r="E85" s="273"/>
      <c r="F85" s="5"/>
      <c r="G85" s="6"/>
    </row>
    <row r="86" spans="1:7" ht="15" customHeight="1">
      <c r="A86" s="31"/>
      <c r="B86" s="31"/>
      <c r="C86" s="31"/>
      <c r="D86" s="31"/>
      <c r="E86" s="31"/>
      <c r="F86" s="31"/>
      <c r="G86" s="32"/>
    </row>
    <row r="87" ht="12.75">
      <c r="A87" s="506" t="s">
        <v>1299</v>
      </c>
    </row>
    <row r="88" spans="4:6" s="80" customFormat="1" ht="12.75">
      <c r="D88" s="251"/>
      <c r="E88" s="251"/>
      <c r="F88" s="252"/>
    </row>
    <row r="89" ht="15">
      <c r="A89" s="1" t="s">
        <v>1300</v>
      </c>
    </row>
    <row r="90" ht="12.75" customHeight="1">
      <c r="A90" s="1"/>
    </row>
    <row r="91" spans="1:7" ht="12" customHeight="1">
      <c r="A91" s="4" t="s">
        <v>1006</v>
      </c>
      <c r="B91" s="5"/>
      <c r="C91" s="5"/>
      <c r="D91" s="5"/>
      <c r="E91" s="5"/>
      <c r="F91" s="5"/>
      <c r="G91" s="6"/>
    </row>
    <row r="92" spans="1:7" ht="15" customHeight="1">
      <c r="A92" s="452"/>
      <c r="B92" s="453" t="s">
        <v>974</v>
      </c>
      <c r="C92" s="454"/>
      <c r="D92" s="454"/>
      <c r="E92" s="454"/>
      <c r="F92" s="454"/>
      <c r="G92" s="453"/>
    </row>
    <row r="93" spans="1:7" s="9" customFormat="1" ht="15.75">
      <c r="A93" s="455"/>
      <c r="B93" s="456"/>
      <c r="C93" s="456"/>
      <c r="D93" s="458" t="s">
        <v>1096</v>
      </c>
      <c r="E93" s="458" t="s">
        <v>1097</v>
      </c>
      <c r="F93" s="458" t="s">
        <v>1098</v>
      </c>
      <c r="G93" s="456"/>
    </row>
    <row r="94" spans="1:7" s="9" customFormat="1" ht="12" customHeight="1">
      <c r="A94" s="459"/>
      <c r="B94" s="444" t="s">
        <v>1099</v>
      </c>
      <c r="C94" s="444" t="s">
        <v>1100</v>
      </c>
      <c r="D94" s="444" t="s">
        <v>1101</v>
      </c>
      <c r="E94" s="461" t="s">
        <v>372</v>
      </c>
      <c r="F94" s="444" t="s">
        <v>1102</v>
      </c>
      <c r="G94" s="444" t="s">
        <v>1104</v>
      </c>
    </row>
    <row r="95" ht="15" customHeight="1"/>
    <row r="96" spans="1:7" ht="15" customHeight="1" hidden="1">
      <c r="A96" s="20">
        <v>1986</v>
      </c>
      <c r="B96" s="15">
        <v>172824</v>
      </c>
      <c r="C96" s="15">
        <v>25465</v>
      </c>
      <c r="D96" s="15">
        <v>39535</v>
      </c>
      <c r="E96" s="15">
        <v>861</v>
      </c>
      <c r="F96" s="15">
        <v>468</v>
      </c>
      <c r="G96" s="12">
        <v>241715</v>
      </c>
    </row>
    <row r="97" spans="1:7" ht="15" customHeight="1" hidden="1">
      <c r="A97" s="20">
        <v>1987</v>
      </c>
      <c r="B97" s="245">
        <v>185171</v>
      </c>
      <c r="C97" s="245">
        <v>27129</v>
      </c>
      <c r="D97" s="245">
        <v>43089</v>
      </c>
      <c r="E97" s="245">
        <f>2801+499</f>
        <v>3300</v>
      </c>
      <c r="F97" s="245">
        <v>964</v>
      </c>
      <c r="G97" s="247">
        <f aca="true" t="shared" si="3" ref="G97:G128">SUM(B97:F97)</f>
        <v>259653</v>
      </c>
    </row>
    <row r="98" spans="1:7" ht="15" customHeight="1">
      <c r="A98" s="20">
        <v>1988</v>
      </c>
      <c r="B98" s="245">
        <v>195019</v>
      </c>
      <c r="C98" s="245">
        <v>29636</v>
      </c>
      <c r="D98" s="245">
        <v>46428</v>
      </c>
      <c r="E98" s="245">
        <f>3157+499</f>
        <v>3656</v>
      </c>
      <c r="F98" s="245">
        <v>1061</v>
      </c>
      <c r="G98" s="247">
        <f t="shared" si="3"/>
        <v>275800</v>
      </c>
    </row>
    <row r="99" spans="1:7" ht="15" customHeight="1">
      <c r="A99" s="467">
        <v>1989</v>
      </c>
      <c r="B99" s="470">
        <v>206163</v>
      </c>
      <c r="C99" s="470">
        <v>32409</v>
      </c>
      <c r="D99" s="470">
        <v>50318</v>
      </c>
      <c r="E99" s="470">
        <f>3525+533</f>
        <v>4058</v>
      </c>
      <c r="F99" s="470">
        <v>1150</v>
      </c>
      <c r="G99" s="477">
        <f t="shared" si="3"/>
        <v>294098</v>
      </c>
    </row>
    <row r="100" spans="1:7" ht="15" customHeight="1">
      <c r="A100" s="20">
        <v>1990</v>
      </c>
      <c r="B100" s="245">
        <v>214031</v>
      </c>
      <c r="C100" s="245">
        <v>34825</v>
      </c>
      <c r="D100" s="245">
        <v>53774</v>
      </c>
      <c r="E100" s="245">
        <f>3844+526</f>
        <v>4370</v>
      </c>
      <c r="F100" s="245">
        <v>1212</v>
      </c>
      <c r="G100" s="247">
        <f t="shared" si="3"/>
        <v>308212</v>
      </c>
    </row>
    <row r="101" spans="1:7" ht="15" customHeight="1">
      <c r="A101" s="467">
        <v>1991</v>
      </c>
      <c r="B101" s="470">
        <v>221188</v>
      </c>
      <c r="C101" s="470">
        <v>37327</v>
      </c>
      <c r="D101" s="470">
        <v>57155</v>
      </c>
      <c r="E101" s="470">
        <f>4250+536</f>
        <v>4786</v>
      </c>
      <c r="F101" s="470">
        <v>1299</v>
      </c>
      <c r="G101" s="477">
        <f t="shared" si="3"/>
        <v>321755</v>
      </c>
    </row>
    <row r="102" spans="1:7" ht="15" customHeight="1">
      <c r="A102" s="20">
        <v>1992</v>
      </c>
      <c r="B102" s="245">
        <v>228416</v>
      </c>
      <c r="C102" s="245">
        <v>39153</v>
      </c>
      <c r="D102" s="245">
        <v>60757</v>
      </c>
      <c r="E102" s="245">
        <f>4593+539</f>
        <v>5132</v>
      </c>
      <c r="F102" s="245">
        <v>1345</v>
      </c>
      <c r="G102" s="247">
        <f t="shared" si="3"/>
        <v>334803</v>
      </c>
    </row>
    <row r="103" spans="1:7" ht="15" customHeight="1">
      <c r="A103" s="467">
        <v>1993</v>
      </c>
      <c r="B103" s="472">
        <v>233214</v>
      </c>
      <c r="C103" s="472">
        <v>39824</v>
      </c>
      <c r="D103" s="472">
        <v>62591</v>
      </c>
      <c r="E103" s="472">
        <f>4794+532</f>
        <v>5326</v>
      </c>
      <c r="F103" s="472">
        <v>1354</v>
      </c>
      <c r="G103" s="477">
        <f t="shared" si="3"/>
        <v>342309</v>
      </c>
    </row>
    <row r="104" spans="1:16" ht="15" customHeight="1">
      <c r="A104" s="20">
        <v>1994</v>
      </c>
      <c r="B104" s="39">
        <v>237213</v>
      </c>
      <c r="C104" s="39">
        <v>40087</v>
      </c>
      <c r="D104" s="39">
        <v>64772</v>
      </c>
      <c r="E104" s="39">
        <f>5143+544</f>
        <v>5687</v>
      </c>
      <c r="F104" s="39">
        <v>1402</v>
      </c>
      <c r="G104" s="247">
        <f t="shared" si="3"/>
        <v>349161</v>
      </c>
      <c r="P104" s="277"/>
    </row>
    <row r="105" spans="1:16" ht="15" customHeight="1">
      <c r="A105" s="467">
        <v>1995</v>
      </c>
      <c r="B105" s="473">
        <v>244497</v>
      </c>
      <c r="C105" s="473">
        <v>40400</v>
      </c>
      <c r="D105" s="473">
        <v>67279</v>
      </c>
      <c r="E105" s="473">
        <f>5624+562</f>
        <v>6186</v>
      </c>
      <c r="F105" s="473">
        <v>1568</v>
      </c>
      <c r="G105" s="477">
        <f t="shared" si="3"/>
        <v>359930</v>
      </c>
      <c r="P105" s="276"/>
    </row>
    <row r="106" spans="1:16" ht="15" customHeight="1">
      <c r="A106" s="20">
        <v>1996</v>
      </c>
      <c r="B106" s="38">
        <v>253373</v>
      </c>
      <c r="C106" s="38">
        <v>40406</v>
      </c>
      <c r="D106" s="38">
        <v>69883</v>
      </c>
      <c r="E106" s="38">
        <f>6103+608</f>
        <v>6711</v>
      </c>
      <c r="F106" s="38">
        <v>1706</v>
      </c>
      <c r="G106" s="247">
        <f t="shared" si="3"/>
        <v>372079</v>
      </c>
      <c r="P106" s="276"/>
    </row>
    <row r="107" spans="1:16" ht="15" customHeight="1">
      <c r="A107" s="467">
        <v>1997</v>
      </c>
      <c r="B107" s="468">
        <v>262533</v>
      </c>
      <c r="C107" s="468">
        <v>40845</v>
      </c>
      <c r="D107" s="468">
        <v>72858</v>
      </c>
      <c r="E107" s="468">
        <v>7228</v>
      </c>
      <c r="F107" s="468">
        <v>1912</v>
      </c>
      <c r="G107" s="477">
        <f t="shared" si="3"/>
        <v>385376</v>
      </c>
      <c r="P107" s="279"/>
    </row>
    <row r="108" spans="1:16" ht="15" customHeight="1">
      <c r="A108" s="20">
        <v>1998</v>
      </c>
      <c r="B108" s="243">
        <v>275213</v>
      </c>
      <c r="C108" s="243">
        <v>41629</v>
      </c>
      <c r="D108" s="243">
        <v>76604</v>
      </c>
      <c r="E108" s="243">
        <v>7793</v>
      </c>
      <c r="F108" s="243">
        <v>2160</v>
      </c>
      <c r="G108" s="247">
        <f t="shared" si="3"/>
        <v>403399</v>
      </c>
      <c r="P108" s="279"/>
    </row>
    <row r="109" spans="1:16" ht="15" customHeight="1">
      <c r="A109" s="467">
        <v>1999</v>
      </c>
      <c r="B109" s="468">
        <v>288307</v>
      </c>
      <c r="C109" s="468">
        <v>42563</v>
      </c>
      <c r="D109" s="468">
        <v>80643</v>
      </c>
      <c r="E109" s="468">
        <v>8612</v>
      </c>
      <c r="F109" s="468">
        <v>2322</v>
      </c>
      <c r="G109" s="477">
        <f t="shared" si="3"/>
        <v>422447</v>
      </c>
      <c r="P109" s="279"/>
    </row>
    <row r="110" spans="1:16" ht="15" customHeight="1">
      <c r="A110" s="20">
        <v>2000</v>
      </c>
      <c r="B110" s="243">
        <v>296017</v>
      </c>
      <c r="C110" s="243">
        <v>43425</v>
      </c>
      <c r="D110" s="243">
        <v>84315</v>
      </c>
      <c r="E110" s="243">
        <v>9459</v>
      </c>
      <c r="F110" s="243">
        <v>2516</v>
      </c>
      <c r="G110" s="247">
        <f t="shared" si="3"/>
        <v>435732</v>
      </c>
      <c r="P110" s="279"/>
    </row>
    <row r="111" spans="1:16" ht="15" customHeight="1">
      <c r="A111" s="467">
        <v>2001</v>
      </c>
      <c r="B111" s="468">
        <v>306731</v>
      </c>
      <c r="C111" s="468">
        <v>44487</v>
      </c>
      <c r="D111" s="468">
        <v>87592</v>
      </c>
      <c r="E111" s="468">
        <v>10338</v>
      </c>
      <c r="F111" s="468">
        <v>2824</v>
      </c>
      <c r="G111" s="477">
        <f t="shared" si="3"/>
        <v>451972</v>
      </c>
      <c r="P111" s="279"/>
    </row>
    <row r="112" spans="1:16" ht="15" customHeight="1">
      <c r="A112" s="20">
        <v>2002</v>
      </c>
      <c r="B112" s="243">
        <v>315386</v>
      </c>
      <c r="C112" s="243">
        <v>45564</v>
      </c>
      <c r="D112" s="243">
        <v>90462</v>
      </c>
      <c r="E112" s="243">
        <v>11433</v>
      </c>
      <c r="F112" s="243">
        <v>3042</v>
      </c>
      <c r="G112" s="247">
        <f t="shared" si="3"/>
        <v>465887</v>
      </c>
      <c r="P112" s="279"/>
    </row>
    <row r="113" spans="1:16" ht="15" customHeight="1">
      <c r="A113" s="467">
        <v>2003</v>
      </c>
      <c r="B113" s="468">
        <v>319820</v>
      </c>
      <c r="C113" s="468">
        <v>45908</v>
      </c>
      <c r="D113" s="468">
        <v>92767</v>
      </c>
      <c r="E113" s="468">
        <v>12512</v>
      </c>
      <c r="F113" s="468">
        <v>3255</v>
      </c>
      <c r="G113" s="477">
        <f t="shared" si="3"/>
        <v>474262</v>
      </c>
      <c r="P113" s="281"/>
    </row>
    <row r="114" spans="1:16" ht="15" customHeight="1">
      <c r="A114" s="20">
        <v>2004</v>
      </c>
      <c r="B114" s="243">
        <v>333156</v>
      </c>
      <c r="C114" s="243">
        <v>48878</v>
      </c>
      <c r="D114" s="243">
        <v>97804</v>
      </c>
      <c r="E114" s="243">
        <v>14075</v>
      </c>
      <c r="F114" s="243">
        <v>3395</v>
      </c>
      <c r="G114" s="247">
        <f t="shared" si="3"/>
        <v>497308</v>
      </c>
      <c r="P114"/>
    </row>
    <row r="115" spans="1:7" ht="15" customHeight="1">
      <c r="A115" s="467">
        <v>2005</v>
      </c>
      <c r="B115" s="468">
        <v>345328</v>
      </c>
      <c r="C115" s="468">
        <v>54230</v>
      </c>
      <c r="D115" s="468">
        <v>103509</v>
      </c>
      <c r="E115" s="468">
        <v>15466</v>
      </c>
      <c r="F115" s="468">
        <v>3475</v>
      </c>
      <c r="G115" s="477">
        <f t="shared" si="3"/>
        <v>522008</v>
      </c>
    </row>
    <row r="116" spans="1:7" ht="15" customHeight="1">
      <c r="A116" s="20">
        <v>2006</v>
      </c>
      <c r="B116" s="243">
        <v>353641</v>
      </c>
      <c r="C116" s="243">
        <v>59970</v>
      </c>
      <c r="D116" s="243">
        <v>108673</v>
      </c>
      <c r="E116" s="243">
        <v>16755</v>
      </c>
      <c r="F116" s="243">
        <v>3408</v>
      </c>
      <c r="G116" s="247">
        <f t="shared" si="3"/>
        <v>542447</v>
      </c>
    </row>
    <row r="117" spans="1:7" ht="15" customHeight="1">
      <c r="A117" s="467">
        <v>2007</v>
      </c>
      <c r="B117" s="468">
        <v>370007</v>
      </c>
      <c r="C117" s="468">
        <v>66373</v>
      </c>
      <c r="D117" s="468">
        <v>115186</v>
      </c>
      <c r="E117" s="468">
        <v>18235</v>
      </c>
      <c r="F117" s="468">
        <v>3711</v>
      </c>
      <c r="G117" s="477">
        <f t="shared" si="3"/>
        <v>573512</v>
      </c>
    </row>
    <row r="118" spans="1:10" ht="15" customHeight="1">
      <c r="A118" s="20">
        <v>2008</v>
      </c>
      <c r="B118" s="243">
        <v>375008</v>
      </c>
      <c r="C118" s="243">
        <v>70302</v>
      </c>
      <c r="D118" s="243">
        <v>116038</v>
      </c>
      <c r="E118" s="243">
        <v>19546</v>
      </c>
      <c r="F118" s="243">
        <v>3692</v>
      </c>
      <c r="G118" s="247">
        <f t="shared" si="3"/>
        <v>584586</v>
      </c>
      <c r="J118" s="272"/>
    </row>
    <row r="119" spans="1:7" ht="15" customHeight="1">
      <c r="A119" s="467">
        <v>2009</v>
      </c>
      <c r="B119" s="468">
        <v>373931</v>
      </c>
      <c r="C119" s="468">
        <v>72600</v>
      </c>
      <c r="D119" s="468">
        <v>115850</v>
      </c>
      <c r="E119" s="468">
        <v>18754</v>
      </c>
      <c r="F119" s="468">
        <v>3534</v>
      </c>
      <c r="G119" s="477">
        <f t="shared" si="3"/>
        <v>584669</v>
      </c>
    </row>
    <row r="120" spans="1:7" ht="15" customHeight="1">
      <c r="A120" s="20">
        <v>2010</v>
      </c>
      <c r="B120" s="243">
        <v>376670</v>
      </c>
      <c r="C120" s="243">
        <v>74552</v>
      </c>
      <c r="D120" s="243">
        <v>115836</v>
      </c>
      <c r="E120" s="243">
        <v>18984</v>
      </c>
      <c r="F120" s="243">
        <v>3347</v>
      </c>
      <c r="G120" s="247">
        <f t="shared" si="3"/>
        <v>589389</v>
      </c>
    </row>
    <row r="121" spans="1:10" ht="15" customHeight="1">
      <c r="A121" s="467">
        <v>2011</v>
      </c>
      <c r="B121" s="474">
        <v>378869</v>
      </c>
      <c r="C121" s="474">
        <v>76508</v>
      </c>
      <c r="D121" s="474">
        <v>115456</v>
      </c>
      <c r="E121" s="474">
        <f>18131+1044</f>
        <v>19175</v>
      </c>
      <c r="F121" s="478">
        <v>3262</v>
      </c>
      <c r="G121" s="477">
        <f t="shared" si="3"/>
        <v>593270</v>
      </c>
      <c r="J121" s="272"/>
    </row>
    <row r="122" spans="1:9" s="9" customFormat="1" ht="15" customHeight="1">
      <c r="A122" s="308">
        <v>2012</v>
      </c>
      <c r="B122" s="309">
        <v>379974</v>
      </c>
      <c r="C122" s="243">
        <v>77559</v>
      </c>
      <c r="D122" s="243">
        <v>114777</v>
      </c>
      <c r="E122" s="243">
        <v>18924</v>
      </c>
      <c r="F122" s="243">
        <v>3091</v>
      </c>
      <c r="G122" s="247">
        <f t="shared" si="3"/>
        <v>594325</v>
      </c>
      <c r="I122" s="22"/>
    </row>
    <row r="123" spans="1:9" s="9" customFormat="1" ht="15" customHeight="1">
      <c r="A123" s="475">
        <v>2013</v>
      </c>
      <c r="B123" s="476">
        <v>377450</v>
      </c>
      <c r="C123" s="476">
        <v>78649</v>
      </c>
      <c r="D123" s="476">
        <v>113526</v>
      </c>
      <c r="E123" s="476">
        <v>18888</v>
      </c>
      <c r="F123" s="476">
        <v>3012</v>
      </c>
      <c r="G123" s="477">
        <f t="shared" si="3"/>
        <v>591525</v>
      </c>
      <c r="I123" s="22"/>
    </row>
    <row r="124" spans="1:9" s="9" customFormat="1" ht="15" customHeight="1">
      <c r="A124" s="308">
        <v>2014</v>
      </c>
      <c r="B124" s="30">
        <v>377695</v>
      </c>
      <c r="C124" s="30">
        <v>80618</v>
      </c>
      <c r="D124" s="30">
        <v>112926</v>
      </c>
      <c r="E124" s="30">
        <v>19151</v>
      </c>
      <c r="F124" s="30">
        <v>3015</v>
      </c>
      <c r="G124" s="247">
        <f t="shared" si="3"/>
        <v>593405</v>
      </c>
      <c r="I124" s="22"/>
    </row>
    <row r="125" spans="1:9" s="9" customFormat="1" ht="15" customHeight="1">
      <c r="A125" s="475">
        <v>2015</v>
      </c>
      <c r="B125" s="476">
        <v>382897</v>
      </c>
      <c r="C125" s="476">
        <v>83264</v>
      </c>
      <c r="D125" s="476">
        <v>113099</v>
      </c>
      <c r="E125" s="476">
        <v>18793</v>
      </c>
      <c r="F125" s="476">
        <v>3201</v>
      </c>
      <c r="G125" s="477">
        <f t="shared" si="3"/>
        <v>601254</v>
      </c>
      <c r="I125" s="22"/>
    </row>
    <row r="126" spans="1:9" s="9" customFormat="1" ht="15" customHeight="1">
      <c r="A126" s="308">
        <v>2016</v>
      </c>
      <c r="B126" s="30">
        <v>392868</v>
      </c>
      <c r="C126" s="30">
        <v>86312</v>
      </c>
      <c r="D126" s="30">
        <v>112843</v>
      </c>
      <c r="E126" s="30">
        <f>1116+17929</f>
        <v>19045</v>
      </c>
      <c r="F126" s="30">
        <v>3362</v>
      </c>
      <c r="G126" s="247">
        <f t="shared" si="3"/>
        <v>614430</v>
      </c>
      <c r="I126" s="22"/>
    </row>
    <row r="127" spans="1:9" s="9" customFormat="1" ht="15" customHeight="1">
      <c r="A127" s="467" t="s">
        <v>1153</v>
      </c>
      <c r="B127" s="476">
        <v>404908</v>
      </c>
      <c r="C127" s="476">
        <v>89383</v>
      </c>
      <c r="D127" s="476">
        <v>110312</v>
      </c>
      <c r="E127" s="476">
        <f>1169+18529</f>
        <v>19698</v>
      </c>
      <c r="F127" s="476">
        <v>3459</v>
      </c>
      <c r="G127" s="477">
        <f t="shared" si="3"/>
        <v>627760</v>
      </c>
      <c r="I127" s="22"/>
    </row>
    <row r="128" spans="1:9" s="9" customFormat="1" ht="15" customHeight="1">
      <c r="A128" s="308">
        <v>2018</v>
      </c>
      <c r="B128" s="30">
        <v>412092</v>
      </c>
      <c r="C128" s="30">
        <v>92801</v>
      </c>
      <c r="D128" s="30">
        <v>113411</v>
      </c>
      <c r="E128" s="30">
        <v>20320</v>
      </c>
      <c r="F128" s="30">
        <v>3517</v>
      </c>
      <c r="G128" s="247">
        <f t="shared" si="3"/>
        <v>642141</v>
      </c>
      <c r="I128" s="22"/>
    </row>
    <row r="129" spans="1:7" ht="15" customHeight="1">
      <c r="A129" s="24"/>
      <c r="B129" s="25"/>
      <c r="C129" s="310"/>
      <c r="D129" s="310"/>
      <c r="E129" s="5"/>
      <c r="F129" s="5"/>
      <c r="G129" s="311"/>
    </row>
    <row r="130" spans="1:10" ht="15" customHeight="1">
      <c r="A130" s="27"/>
      <c r="B130" s="28"/>
      <c r="C130" s="28"/>
      <c r="D130" s="28"/>
      <c r="E130" s="28"/>
      <c r="F130" s="28"/>
      <c r="G130" s="29"/>
      <c r="J130" s="275"/>
    </row>
    <row r="131" ht="12" customHeight="1">
      <c r="A131" s="506" t="s">
        <v>1299</v>
      </c>
    </row>
    <row r="132" spans="4:6" s="80" customFormat="1" ht="12.75">
      <c r="D132" s="251"/>
      <c r="E132" s="251"/>
      <c r="F132" s="252"/>
    </row>
    <row r="133" ht="15">
      <c r="A133" s="1" t="s">
        <v>1300</v>
      </c>
    </row>
    <row r="134" ht="12.75" customHeight="1">
      <c r="A134" s="1"/>
    </row>
    <row r="135" spans="1:7" ht="12" customHeight="1">
      <c r="A135" s="4" t="s">
        <v>1006</v>
      </c>
      <c r="B135" s="5"/>
      <c r="C135" s="5"/>
      <c r="D135" s="5"/>
      <c r="E135" s="5"/>
      <c r="F135" s="5"/>
      <c r="G135" s="6"/>
    </row>
    <row r="136" spans="1:7" ht="15" customHeight="1">
      <c r="A136" s="452"/>
      <c r="B136" s="453" t="s">
        <v>975</v>
      </c>
      <c r="C136" s="454"/>
      <c r="D136" s="454"/>
      <c r="E136" s="454"/>
      <c r="F136" s="454"/>
      <c r="G136" s="453"/>
    </row>
    <row r="137" spans="1:7" s="9" customFormat="1" ht="15.75">
      <c r="A137" s="455"/>
      <c r="B137" s="456"/>
      <c r="C137" s="456"/>
      <c r="D137" s="458" t="s">
        <v>1096</v>
      </c>
      <c r="E137" s="458" t="s">
        <v>1097</v>
      </c>
      <c r="F137" s="458" t="s">
        <v>1098</v>
      </c>
      <c r="G137" s="456"/>
    </row>
    <row r="138" spans="1:7" s="9" customFormat="1" ht="12" customHeight="1">
      <c r="A138" s="459"/>
      <c r="B138" s="444" t="s">
        <v>1099</v>
      </c>
      <c r="C138" s="444" t="s">
        <v>1100</v>
      </c>
      <c r="D138" s="444" t="s">
        <v>1101</v>
      </c>
      <c r="E138" s="461" t="s">
        <v>372</v>
      </c>
      <c r="F138" s="444" t="s">
        <v>1102</v>
      </c>
      <c r="G138" s="444" t="s">
        <v>1104</v>
      </c>
    </row>
    <row r="139" ht="15" customHeight="1"/>
    <row r="140" spans="1:7" ht="15" customHeight="1" hidden="1">
      <c r="A140" s="20">
        <v>1986</v>
      </c>
      <c r="B140" s="15"/>
      <c r="C140" s="15"/>
      <c r="D140" s="15"/>
      <c r="E140" s="15"/>
      <c r="F140" s="15"/>
      <c r="G140" s="12">
        <v>140945</v>
      </c>
    </row>
    <row r="141" spans="1:7" ht="15" customHeight="1" hidden="1">
      <c r="A141" s="20">
        <v>1987</v>
      </c>
      <c r="B141" s="245">
        <v>106194</v>
      </c>
      <c r="C141" s="245">
        <v>9876</v>
      </c>
      <c r="D141" s="245">
        <v>29801</v>
      </c>
      <c r="E141" s="245">
        <f>1675+283</f>
        <v>1958</v>
      </c>
      <c r="F141" s="245">
        <v>849</v>
      </c>
      <c r="G141" s="247">
        <f aca="true" t="shared" si="4" ref="G141:G172">SUM(B141:F141)</f>
        <v>148678</v>
      </c>
    </row>
    <row r="142" spans="1:7" ht="15" customHeight="1">
      <c r="A142" s="20">
        <v>1988</v>
      </c>
      <c r="B142" s="245">
        <v>110290</v>
      </c>
      <c r="C142" s="245">
        <v>10374</v>
      </c>
      <c r="D142" s="245">
        <v>31558</v>
      </c>
      <c r="E142" s="245">
        <f>1992+302</f>
        <v>2294</v>
      </c>
      <c r="F142" s="245">
        <v>1019</v>
      </c>
      <c r="G142" s="247">
        <f t="shared" si="4"/>
        <v>155535</v>
      </c>
    </row>
    <row r="143" spans="1:7" ht="15" customHeight="1">
      <c r="A143" s="467">
        <v>1989</v>
      </c>
      <c r="B143" s="470">
        <v>116020</v>
      </c>
      <c r="C143" s="470">
        <v>11093</v>
      </c>
      <c r="D143" s="470">
        <v>33710</v>
      </c>
      <c r="E143" s="470">
        <f>2404+320</f>
        <v>2724</v>
      </c>
      <c r="F143" s="470">
        <v>1220</v>
      </c>
      <c r="G143" s="477">
        <f t="shared" si="4"/>
        <v>164767</v>
      </c>
    </row>
    <row r="144" spans="1:7" ht="15" customHeight="1">
      <c r="A144" s="20">
        <v>1990</v>
      </c>
      <c r="B144" s="245">
        <v>121059</v>
      </c>
      <c r="C144" s="245">
        <v>11985</v>
      </c>
      <c r="D144" s="245">
        <v>35585</v>
      </c>
      <c r="E144" s="245">
        <f>2700+320</f>
        <v>3020</v>
      </c>
      <c r="F144" s="245">
        <v>1278</v>
      </c>
      <c r="G144" s="247">
        <f t="shared" si="4"/>
        <v>172927</v>
      </c>
    </row>
    <row r="145" spans="1:7" ht="15" customHeight="1">
      <c r="A145" s="467">
        <v>1991</v>
      </c>
      <c r="B145" s="470">
        <v>125798</v>
      </c>
      <c r="C145" s="470">
        <v>12946</v>
      </c>
      <c r="D145" s="470">
        <v>37412</v>
      </c>
      <c r="E145" s="470">
        <f>3068+318</f>
        <v>3386</v>
      </c>
      <c r="F145" s="470">
        <v>1394</v>
      </c>
      <c r="G145" s="477">
        <f t="shared" si="4"/>
        <v>180936</v>
      </c>
    </row>
    <row r="146" spans="1:7" ht="15" customHeight="1">
      <c r="A146" s="20">
        <v>1992</v>
      </c>
      <c r="B146" s="245">
        <v>130478</v>
      </c>
      <c r="C146" s="245">
        <v>13687</v>
      </c>
      <c r="D146" s="245">
        <v>39001</v>
      </c>
      <c r="E146" s="245">
        <f>3367+330</f>
        <v>3697</v>
      </c>
      <c r="F146" s="245">
        <v>1460</v>
      </c>
      <c r="G146" s="247">
        <f t="shared" si="4"/>
        <v>188323</v>
      </c>
    </row>
    <row r="147" spans="1:7" ht="15" customHeight="1">
      <c r="A147" s="467">
        <v>1993</v>
      </c>
      <c r="B147" s="472">
        <v>133491</v>
      </c>
      <c r="C147" s="472">
        <v>14012</v>
      </c>
      <c r="D147" s="472">
        <v>39673</v>
      </c>
      <c r="E147" s="472">
        <f>3628+323</f>
        <v>3951</v>
      </c>
      <c r="F147" s="472">
        <v>1526</v>
      </c>
      <c r="G147" s="477">
        <f t="shared" si="4"/>
        <v>192653</v>
      </c>
    </row>
    <row r="148" spans="1:7" ht="15" customHeight="1">
      <c r="A148" s="20">
        <v>1994</v>
      </c>
      <c r="B148" s="39">
        <v>135565</v>
      </c>
      <c r="C148" s="39">
        <v>14141</v>
      </c>
      <c r="D148" s="39">
        <v>40264</v>
      </c>
      <c r="E148" s="39">
        <f>3855+319</f>
        <v>4174</v>
      </c>
      <c r="F148" s="39">
        <v>1642</v>
      </c>
      <c r="G148" s="247">
        <f t="shared" si="4"/>
        <v>195786</v>
      </c>
    </row>
    <row r="149" spans="1:7" ht="15" customHeight="1">
      <c r="A149" s="467">
        <v>1995</v>
      </c>
      <c r="B149" s="473">
        <v>139921</v>
      </c>
      <c r="C149" s="473">
        <v>14291</v>
      </c>
      <c r="D149" s="473">
        <v>41218</v>
      </c>
      <c r="E149" s="473">
        <f>4262+321</f>
        <v>4583</v>
      </c>
      <c r="F149" s="473">
        <v>1835</v>
      </c>
      <c r="G149" s="477">
        <f t="shared" si="4"/>
        <v>201848</v>
      </c>
    </row>
    <row r="150" spans="1:7" ht="15" customHeight="1">
      <c r="A150" s="20">
        <v>1996</v>
      </c>
      <c r="B150" s="38">
        <v>144926</v>
      </c>
      <c r="C150" s="38">
        <v>14393</v>
      </c>
      <c r="D150" s="39">
        <v>42356</v>
      </c>
      <c r="E150" s="38">
        <f>4592+345</f>
        <v>4937</v>
      </c>
      <c r="F150" s="38">
        <v>1969</v>
      </c>
      <c r="G150" s="247">
        <f t="shared" si="4"/>
        <v>208581</v>
      </c>
    </row>
    <row r="151" spans="1:7" ht="15.75" customHeight="1">
      <c r="A151" s="467">
        <v>1997</v>
      </c>
      <c r="B151" s="468">
        <v>149482</v>
      </c>
      <c r="C151" s="468">
        <v>14600</v>
      </c>
      <c r="D151" s="468">
        <v>43748</v>
      </c>
      <c r="E151" s="468">
        <v>5468</v>
      </c>
      <c r="F151" s="468">
        <v>2216</v>
      </c>
      <c r="G151" s="477">
        <f t="shared" si="4"/>
        <v>215514</v>
      </c>
    </row>
    <row r="152" spans="1:7" ht="15" customHeight="1">
      <c r="A152" s="20">
        <v>1998</v>
      </c>
      <c r="B152" s="243">
        <v>156180</v>
      </c>
      <c r="C152" s="243">
        <v>14889</v>
      </c>
      <c r="D152" s="243">
        <v>45367</v>
      </c>
      <c r="E152" s="243">
        <v>6167</v>
      </c>
      <c r="F152" s="243">
        <v>2493</v>
      </c>
      <c r="G152" s="247">
        <f t="shared" si="4"/>
        <v>225096</v>
      </c>
    </row>
    <row r="153" spans="1:7" ht="15" customHeight="1">
      <c r="A153" s="467">
        <v>1999</v>
      </c>
      <c r="B153" s="468">
        <v>163201</v>
      </c>
      <c r="C153" s="468">
        <v>15283</v>
      </c>
      <c r="D153" s="468">
        <v>47219</v>
      </c>
      <c r="E153" s="468">
        <v>6778</v>
      </c>
      <c r="F153" s="468">
        <v>2719</v>
      </c>
      <c r="G153" s="477">
        <f t="shared" si="4"/>
        <v>235200</v>
      </c>
    </row>
    <row r="154" spans="1:7" ht="15" customHeight="1">
      <c r="A154" s="20">
        <v>2000</v>
      </c>
      <c r="B154" s="243">
        <v>166244</v>
      </c>
      <c r="C154" s="243">
        <v>15451</v>
      </c>
      <c r="D154" s="243">
        <v>48065</v>
      </c>
      <c r="E154" s="243">
        <v>7495</v>
      </c>
      <c r="F154" s="243">
        <v>2936</v>
      </c>
      <c r="G154" s="247">
        <f t="shared" si="4"/>
        <v>240191</v>
      </c>
    </row>
    <row r="155" spans="1:15" ht="15" customHeight="1">
      <c r="A155" s="467">
        <v>2001</v>
      </c>
      <c r="B155" s="468">
        <v>172130</v>
      </c>
      <c r="C155" s="468">
        <v>15946</v>
      </c>
      <c r="D155" s="468">
        <v>49864</v>
      </c>
      <c r="E155" s="468">
        <v>8243</v>
      </c>
      <c r="F155" s="468">
        <v>3143</v>
      </c>
      <c r="G155" s="477">
        <f t="shared" si="4"/>
        <v>249326</v>
      </c>
      <c r="O155" s="791"/>
    </row>
    <row r="156" spans="1:15" ht="15" customHeight="1">
      <c r="A156" s="20">
        <v>2002</v>
      </c>
      <c r="B156" s="243">
        <v>176825</v>
      </c>
      <c r="C156" s="243">
        <v>16239</v>
      </c>
      <c r="D156" s="243">
        <v>51302</v>
      </c>
      <c r="E156" s="243">
        <v>9094</v>
      </c>
      <c r="F156" s="243">
        <v>3434</v>
      </c>
      <c r="G156" s="247">
        <f t="shared" si="4"/>
        <v>256894</v>
      </c>
      <c r="O156" s="791"/>
    </row>
    <row r="157" spans="1:15" ht="15" customHeight="1">
      <c r="A157" s="467">
        <v>2003</v>
      </c>
      <c r="B157" s="468">
        <v>178134</v>
      </c>
      <c r="C157" s="468">
        <v>16119</v>
      </c>
      <c r="D157" s="468">
        <v>52534</v>
      </c>
      <c r="E157" s="468">
        <v>9913</v>
      </c>
      <c r="F157" s="468">
        <v>3597</v>
      </c>
      <c r="G157" s="477">
        <f t="shared" si="4"/>
        <v>260297</v>
      </c>
      <c r="O157" s="791"/>
    </row>
    <row r="158" spans="1:15" ht="15" customHeight="1">
      <c r="A158" s="20">
        <v>2004</v>
      </c>
      <c r="B158" s="243">
        <v>185518</v>
      </c>
      <c r="C158" s="243">
        <v>16935</v>
      </c>
      <c r="D158" s="243">
        <v>54997</v>
      </c>
      <c r="E158" s="243">
        <v>10951</v>
      </c>
      <c r="F158" s="243">
        <v>3788</v>
      </c>
      <c r="G158" s="247">
        <f t="shared" si="4"/>
        <v>272189</v>
      </c>
      <c r="O158" s="271"/>
    </row>
    <row r="159" spans="1:15" ht="15" customHeight="1">
      <c r="A159" s="467">
        <v>2005</v>
      </c>
      <c r="B159" s="468">
        <v>192427</v>
      </c>
      <c r="C159" s="468">
        <v>18427</v>
      </c>
      <c r="D159" s="468">
        <v>57223</v>
      </c>
      <c r="E159" s="468">
        <v>11992</v>
      </c>
      <c r="F159" s="468">
        <v>3920</v>
      </c>
      <c r="G159" s="477">
        <f t="shared" si="4"/>
        <v>283989</v>
      </c>
      <c r="O159" s="271"/>
    </row>
    <row r="160" spans="1:15" ht="15" customHeight="1">
      <c r="A160" s="20">
        <v>2006</v>
      </c>
      <c r="B160" s="243">
        <v>197616</v>
      </c>
      <c r="C160" s="243">
        <v>20401</v>
      </c>
      <c r="D160" s="243">
        <v>59344</v>
      </c>
      <c r="E160" s="243">
        <v>13433</v>
      </c>
      <c r="F160" s="243">
        <v>3914</v>
      </c>
      <c r="G160" s="247">
        <f t="shared" si="4"/>
        <v>294708</v>
      </c>
      <c r="O160" s="271"/>
    </row>
    <row r="161" spans="1:15" ht="15" customHeight="1">
      <c r="A161" s="467">
        <v>2007</v>
      </c>
      <c r="B161" s="468">
        <v>206937</v>
      </c>
      <c r="C161" s="468">
        <v>22495</v>
      </c>
      <c r="D161" s="468">
        <v>62502</v>
      </c>
      <c r="E161" s="468">
        <v>14993</v>
      </c>
      <c r="F161" s="468">
        <v>4402</v>
      </c>
      <c r="G161" s="477">
        <f t="shared" si="4"/>
        <v>311329</v>
      </c>
      <c r="O161" s="271"/>
    </row>
    <row r="162" spans="1:15" ht="15" customHeight="1">
      <c r="A162" s="20">
        <v>2008</v>
      </c>
      <c r="B162" s="243">
        <v>210065</v>
      </c>
      <c r="C162" s="243">
        <v>24085</v>
      </c>
      <c r="D162" s="243">
        <v>63260</v>
      </c>
      <c r="E162" s="243">
        <v>15550</v>
      </c>
      <c r="F162" s="243">
        <v>4433</v>
      </c>
      <c r="G162" s="247">
        <f t="shared" si="4"/>
        <v>317393</v>
      </c>
      <c r="O162" s="271"/>
    </row>
    <row r="163" spans="1:15" ht="15" customHeight="1">
      <c r="A163" s="467">
        <v>2009</v>
      </c>
      <c r="B163" s="468">
        <v>211098</v>
      </c>
      <c r="C163" s="468">
        <v>24982</v>
      </c>
      <c r="D163" s="468">
        <v>63523</v>
      </c>
      <c r="E163" s="468">
        <v>15866</v>
      </c>
      <c r="F163" s="468">
        <v>4275</v>
      </c>
      <c r="G163" s="477">
        <f t="shared" si="4"/>
        <v>319744</v>
      </c>
      <c r="O163" s="271"/>
    </row>
    <row r="164" spans="1:15" ht="15" customHeight="1">
      <c r="A164" s="20">
        <v>2010</v>
      </c>
      <c r="B164" s="243">
        <v>212395</v>
      </c>
      <c r="C164" s="243">
        <v>25731</v>
      </c>
      <c r="D164" s="243">
        <v>63542</v>
      </c>
      <c r="E164" s="243">
        <v>16257</v>
      </c>
      <c r="F164" s="243">
        <v>4199</v>
      </c>
      <c r="G164" s="247">
        <f t="shared" si="4"/>
        <v>322124</v>
      </c>
      <c r="O164" s="274"/>
    </row>
    <row r="165" spans="1:15" ht="15" customHeight="1">
      <c r="A165" s="467">
        <v>2011</v>
      </c>
      <c r="B165" s="468">
        <v>212894</v>
      </c>
      <c r="C165" s="468">
        <v>26334</v>
      </c>
      <c r="D165" s="468">
        <v>63600</v>
      </c>
      <c r="E165" s="468">
        <f>515+16483</f>
        <v>16998</v>
      </c>
      <c r="F165" s="468">
        <v>4234</v>
      </c>
      <c r="G165" s="477">
        <f t="shared" si="4"/>
        <v>324060</v>
      </c>
      <c r="I165"/>
      <c r="J165"/>
      <c r="K165"/>
      <c r="L165"/>
      <c r="M165"/>
      <c r="N165"/>
      <c r="O165"/>
    </row>
    <row r="166" spans="1:9" s="9" customFormat="1" ht="15" customHeight="1">
      <c r="A166" s="308">
        <v>2012</v>
      </c>
      <c r="B166" s="243">
        <v>212656</v>
      </c>
      <c r="C166" s="243">
        <v>26709</v>
      </c>
      <c r="D166" s="243">
        <v>63333</v>
      </c>
      <c r="E166" s="243">
        <v>17192</v>
      </c>
      <c r="F166" s="243">
        <v>4020</v>
      </c>
      <c r="G166" s="247">
        <f t="shared" si="4"/>
        <v>323910</v>
      </c>
      <c r="I166" s="22"/>
    </row>
    <row r="167" spans="1:9" s="9" customFormat="1" ht="15" customHeight="1">
      <c r="A167" s="475">
        <v>2013</v>
      </c>
      <c r="B167" s="476">
        <v>210929</v>
      </c>
      <c r="C167" s="476">
        <v>27076</v>
      </c>
      <c r="D167" s="476">
        <v>62744</v>
      </c>
      <c r="E167" s="476">
        <v>17833</v>
      </c>
      <c r="F167" s="469">
        <v>3929</v>
      </c>
      <c r="G167" s="477">
        <f t="shared" si="4"/>
        <v>322511</v>
      </c>
      <c r="I167" s="22"/>
    </row>
    <row r="168" spans="1:9" s="9" customFormat="1" ht="15" customHeight="1">
      <c r="A168" s="308">
        <v>2014</v>
      </c>
      <c r="B168" s="30">
        <v>211187</v>
      </c>
      <c r="C168" s="30">
        <v>27665</v>
      </c>
      <c r="D168" s="30">
        <v>62573</v>
      </c>
      <c r="E168" s="30">
        <v>18650</v>
      </c>
      <c r="F168" s="38">
        <v>3913</v>
      </c>
      <c r="G168" s="247">
        <f t="shared" si="4"/>
        <v>323988</v>
      </c>
      <c r="I168" s="22"/>
    </row>
    <row r="169" spans="1:9" s="9" customFormat="1" ht="15" customHeight="1">
      <c r="A169" s="475">
        <v>2015</v>
      </c>
      <c r="B169" s="476">
        <v>213901</v>
      </c>
      <c r="C169" s="476">
        <v>28341</v>
      </c>
      <c r="D169" s="476">
        <v>62766</v>
      </c>
      <c r="E169" s="476">
        <v>17386</v>
      </c>
      <c r="F169" s="469">
        <v>4126</v>
      </c>
      <c r="G169" s="477">
        <f t="shared" si="4"/>
        <v>326520</v>
      </c>
      <c r="I169" s="22"/>
    </row>
    <row r="170" spans="1:9" s="9" customFormat="1" ht="15" customHeight="1">
      <c r="A170" s="308">
        <v>2016</v>
      </c>
      <c r="B170" s="30">
        <v>218488</v>
      </c>
      <c r="C170" s="30">
        <v>29402</v>
      </c>
      <c r="D170" s="30">
        <v>63475</v>
      </c>
      <c r="E170" s="30">
        <f>503+17422</f>
        <v>17925</v>
      </c>
      <c r="F170" s="38">
        <v>4370</v>
      </c>
      <c r="G170" s="247">
        <f t="shared" si="4"/>
        <v>333660</v>
      </c>
      <c r="I170" s="22"/>
    </row>
    <row r="171" spans="1:9" s="9" customFormat="1" ht="15" customHeight="1">
      <c r="A171" s="467" t="s">
        <v>1153</v>
      </c>
      <c r="B171" s="476">
        <v>226122</v>
      </c>
      <c r="C171" s="476">
        <v>30376</v>
      </c>
      <c r="D171" s="476">
        <v>61766</v>
      </c>
      <c r="E171" s="476">
        <f>510+17781</f>
        <v>18291</v>
      </c>
      <c r="F171" s="469">
        <v>4561</v>
      </c>
      <c r="G171" s="477">
        <f t="shared" si="4"/>
        <v>341116</v>
      </c>
      <c r="I171" s="22"/>
    </row>
    <row r="172" spans="1:9" s="9" customFormat="1" ht="15" customHeight="1">
      <c r="A172" s="308">
        <v>2018</v>
      </c>
      <c r="B172" s="30">
        <v>228628</v>
      </c>
      <c r="C172" s="30">
        <v>31358</v>
      </c>
      <c r="D172" s="30">
        <v>64504</v>
      </c>
      <c r="E172" s="30">
        <v>18638</v>
      </c>
      <c r="F172" s="38">
        <v>4742</v>
      </c>
      <c r="G172" s="247">
        <f t="shared" si="4"/>
        <v>347870</v>
      </c>
      <c r="I172" s="22"/>
    </row>
    <row r="173" spans="1:7" ht="15" customHeight="1">
      <c r="A173" s="24"/>
      <c r="B173" s="5"/>
      <c r="C173" s="5"/>
      <c r="D173" s="5"/>
      <c r="E173" s="5"/>
      <c r="F173" s="5"/>
      <c r="G173" s="311"/>
    </row>
    <row r="174" spans="1:7" ht="15" customHeight="1">
      <c r="A174" s="27"/>
      <c r="B174" s="28"/>
      <c r="C174" s="28"/>
      <c r="D174" s="28"/>
      <c r="E174" s="28"/>
      <c r="F174" s="28"/>
      <c r="G174" s="29"/>
    </row>
    <row r="175" ht="12" customHeight="1">
      <c r="A175" s="506" t="s">
        <v>1299</v>
      </c>
    </row>
    <row r="176" spans="4:6" s="80" customFormat="1" ht="12.75">
      <c r="D176" s="251"/>
      <c r="E176" s="251"/>
      <c r="F176" s="252"/>
    </row>
    <row r="177" ht="15">
      <c r="A177" s="1" t="s">
        <v>1300</v>
      </c>
    </row>
    <row r="178" ht="12.75" customHeight="1">
      <c r="A178" s="1"/>
    </row>
    <row r="179" spans="1:7" ht="12" customHeight="1">
      <c r="A179" s="4" t="s">
        <v>1006</v>
      </c>
      <c r="B179" s="5"/>
      <c r="C179" s="5"/>
      <c r="D179" s="5"/>
      <c r="E179" s="5"/>
      <c r="F179" s="5"/>
      <c r="G179" s="6"/>
    </row>
    <row r="180" spans="1:7" ht="15" customHeight="1">
      <c r="A180" s="452"/>
      <c r="B180" s="453" t="s">
        <v>976</v>
      </c>
      <c r="C180" s="454"/>
      <c r="D180" s="454"/>
      <c r="E180" s="454"/>
      <c r="F180" s="454"/>
      <c r="G180" s="453"/>
    </row>
    <row r="181" spans="1:7" s="9" customFormat="1" ht="15.75">
      <c r="A181" s="455"/>
      <c r="B181" s="456"/>
      <c r="C181" s="456"/>
      <c r="D181" s="458" t="s">
        <v>1096</v>
      </c>
      <c r="E181" s="458" t="s">
        <v>1097</v>
      </c>
      <c r="F181" s="458" t="s">
        <v>1098</v>
      </c>
      <c r="G181" s="456"/>
    </row>
    <row r="182" spans="1:7" s="9" customFormat="1" ht="12" customHeight="1">
      <c r="A182" s="459"/>
      <c r="B182" s="444" t="s">
        <v>1099</v>
      </c>
      <c r="C182" s="444" t="s">
        <v>1100</v>
      </c>
      <c r="D182" s="444" t="s">
        <v>1101</v>
      </c>
      <c r="E182" s="461" t="s">
        <v>372</v>
      </c>
      <c r="F182" s="444" t="s">
        <v>1102</v>
      </c>
      <c r="G182" s="444" t="s">
        <v>1104</v>
      </c>
    </row>
    <row r="183" ht="15" customHeight="1"/>
    <row r="184" spans="1:7" ht="15" customHeight="1" hidden="1">
      <c r="A184" s="20">
        <v>1986</v>
      </c>
      <c r="B184" s="15"/>
      <c r="C184" s="15"/>
      <c r="D184" s="15"/>
      <c r="E184" s="15"/>
      <c r="F184" s="15"/>
      <c r="G184" s="12">
        <v>203993</v>
      </c>
    </row>
    <row r="185" spans="1:7" ht="15" customHeight="1">
      <c r="A185" s="20">
        <v>1987</v>
      </c>
      <c r="B185" s="245">
        <v>155911</v>
      </c>
      <c r="C185" s="245">
        <v>18963</v>
      </c>
      <c r="D185" s="245">
        <v>39218</v>
      </c>
      <c r="E185" s="245">
        <f>1922+497</f>
        <v>2419</v>
      </c>
      <c r="F185" s="245">
        <v>984</v>
      </c>
      <c r="G185" s="12">
        <f aca="true" t="shared" si="5" ref="G185:G216">SUM(B185:F185)</f>
        <v>217495</v>
      </c>
    </row>
    <row r="186" spans="1:7" ht="15" customHeight="1">
      <c r="A186" s="467">
        <v>1988</v>
      </c>
      <c r="B186" s="470">
        <v>164821</v>
      </c>
      <c r="C186" s="470">
        <v>20440</v>
      </c>
      <c r="D186" s="470">
        <v>42787</v>
      </c>
      <c r="E186" s="470">
        <f>2350+457</f>
        <v>2807</v>
      </c>
      <c r="F186" s="470">
        <v>1162</v>
      </c>
      <c r="G186" s="479">
        <f t="shared" si="5"/>
        <v>232017</v>
      </c>
    </row>
    <row r="187" spans="1:7" ht="15" customHeight="1">
      <c r="A187" s="20">
        <v>1989</v>
      </c>
      <c r="B187" s="245">
        <v>174364</v>
      </c>
      <c r="C187" s="245">
        <v>22415</v>
      </c>
      <c r="D187" s="245">
        <v>46339</v>
      </c>
      <c r="E187" s="245">
        <f>2799+464</f>
        <v>3263</v>
      </c>
      <c r="F187" s="245">
        <v>1338</v>
      </c>
      <c r="G187" s="12">
        <f t="shared" si="5"/>
        <v>247719</v>
      </c>
    </row>
    <row r="188" spans="1:7" ht="15" customHeight="1">
      <c r="A188" s="467">
        <v>1990</v>
      </c>
      <c r="B188" s="470">
        <v>182416</v>
      </c>
      <c r="C188" s="470">
        <v>24443</v>
      </c>
      <c r="D188" s="470">
        <v>49679</v>
      </c>
      <c r="E188" s="470">
        <f>3207+457</f>
        <v>3664</v>
      </c>
      <c r="F188" s="470">
        <v>1414</v>
      </c>
      <c r="G188" s="479">
        <f t="shared" si="5"/>
        <v>261616</v>
      </c>
    </row>
    <row r="189" spans="1:7" ht="15" customHeight="1">
      <c r="A189" s="20">
        <v>1991</v>
      </c>
      <c r="B189" s="245">
        <v>190498</v>
      </c>
      <c r="C189" s="245">
        <v>26635</v>
      </c>
      <c r="D189" s="245">
        <v>52828</v>
      </c>
      <c r="E189" s="245">
        <f>3568+444</f>
        <v>4012</v>
      </c>
      <c r="F189" s="245">
        <v>1493</v>
      </c>
      <c r="G189" s="12">
        <f t="shared" si="5"/>
        <v>275466</v>
      </c>
    </row>
    <row r="190" spans="1:7" ht="15" customHeight="1">
      <c r="A190" s="467">
        <v>1992</v>
      </c>
      <c r="B190" s="470">
        <v>198447</v>
      </c>
      <c r="C190" s="470">
        <v>28156</v>
      </c>
      <c r="D190" s="470">
        <v>55725</v>
      </c>
      <c r="E190" s="470">
        <f>3915+473</f>
        <v>4388</v>
      </c>
      <c r="F190" s="470">
        <v>1581</v>
      </c>
      <c r="G190" s="479">
        <f t="shared" si="5"/>
        <v>288297</v>
      </c>
    </row>
    <row r="191" spans="1:7" ht="15" customHeight="1">
      <c r="A191" s="20">
        <v>1993</v>
      </c>
      <c r="B191" s="245">
        <v>204300</v>
      </c>
      <c r="C191" s="245">
        <v>28778</v>
      </c>
      <c r="D191" s="245">
        <v>57542</v>
      </c>
      <c r="E191" s="245">
        <f>4198+463</f>
        <v>4661</v>
      </c>
      <c r="F191" s="245">
        <v>1599</v>
      </c>
      <c r="G191" s="12">
        <f t="shared" si="5"/>
        <v>296880</v>
      </c>
    </row>
    <row r="192" spans="1:7" ht="15" customHeight="1">
      <c r="A192" s="467">
        <v>1994</v>
      </c>
      <c r="B192" s="473">
        <v>208811</v>
      </c>
      <c r="C192" s="473">
        <v>29297</v>
      </c>
      <c r="D192" s="473">
        <v>59478</v>
      </c>
      <c r="E192" s="473">
        <f>4425+477</f>
        <v>4902</v>
      </c>
      <c r="F192" s="473">
        <v>1603</v>
      </c>
      <c r="G192" s="479">
        <f t="shared" si="5"/>
        <v>304091</v>
      </c>
    </row>
    <row r="193" spans="1:7" ht="15" customHeight="1">
      <c r="A193" s="20">
        <v>1995</v>
      </c>
      <c r="B193" s="41">
        <v>216330</v>
      </c>
      <c r="C193" s="41">
        <v>29792</v>
      </c>
      <c r="D193" s="41">
        <v>61990</v>
      </c>
      <c r="E193" s="41">
        <f>4819+490</f>
        <v>5309</v>
      </c>
      <c r="F193" s="41">
        <v>1704</v>
      </c>
      <c r="G193" s="12">
        <f t="shared" si="5"/>
        <v>315125</v>
      </c>
    </row>
    <row r="194" spans="1:7" ht="15" customHeight="1">
      <c r="A194" s="467">
        <v>1996</v>
      </c>
      <c r="B194" s="469">
        <v>225063</v>
      </c>
      <c r="C194" s="469">
        <v>30227</v>
      </c>
      <c r="D194" s="469">
        <v>64503</v>
      </c>
      <c r="E194" s="469">
        <f>5216+519</f>
        <v>5735</v>
      </c>
      <c r="F194" s="469">
        <v>1848</v>
      </c>
      <c r="G194" s="479">
        <f t="shared" si="5"/>
        <v>327376</v>
      </c>
    </row>
    <row r="195" spans="1:7" ht="15" customHeight="1">
      <c r="A195" s="20">
        <v>1997</v>
      </c>
      <c r="B195" s="243">
        <v>234065</v>
      </c>
      <c r="C195" s="243">
        <v>30854</v>
      </c>
      <c r="D195" s="243">
        <v>67304</v>
      </c>
      <c r="E195" s="243">
        <v>6337</v>
      </c>
      <c r="F195" s="243">
        <v>2082</v>
      </c>
      <c r="G195" s="12">
        <f t="shared" si="5"/>
        <v>340642</v>
      </c>
    </row>
    <row r="196" spans="1:7" ht="15" customHeight="1">
      <c r="A196" s="467">
        <v>1998</v>
      </c>
      <c r="B196" s="468">
        <v>245609</v>
      </c>
      <c r="C196" s="468">
        <v>31638</v>
      </c>
      <c r="D196" s="468">
        <v>70696</v>
      </c>
      <c r="E196" s="468">
        <v>7071</v>
      </c>
      <c r="F196" s="468">
        <v>2335</v>
      </c>
      <c r="G196" s="479">
        <f t="shared" si="5"/>
        <v>357349</v>
      </c>
    </row>
    <row r="197" spans="1:7" ht="15" customHeight="1">
      <c r="A197" s="20">
        <v>1999</v>
      </c>
      <c r="B197" s="243">
        <v>258668</v>
      </c>
      <c r="C197" s="243">
        <v>32769</v>
      </c>
      <c r="D197" s="243">
        <v>74602</v>
      </c>
      <c r="E197" s="243">
        <v>8131</v>
      </c>
      <c r="F197" s="243">
        <v>2618</v>
      </c>
      <c r="G197" s="12">
        <f t="shared" si="5"/>
        <v>376788</v>
      </c>
    </row>
    <row r="198" spans="1:7" ht="15" customHeight="1">
      <c r="A198" s="467">
        <v>2000</v>
      </c>
      <c r="B198" s="468">
        <v>268549</v>
      </c>
      <c r="C198" s="468">
        <v>33941</v>
      </c>
      <c r="D198" s="468">
        <v>77511</v>
      </c>
      <c r="E198" s="468">
        <v>9047</v>
      </c>
      <c r="F198" s="468">
        <v>2868</v>
      </c>
      <c r="G198" s="479">
        <f t="shared" si="5"/>
        <v>391916</v>
      </c>
    </row>
    <row r="199" spans="1:7" ht="15" customHeight="1">
      <c r="A199" s="20">
        <v>2001</v>
      </c>
      <c r="B199" s="243">
        <v>279255</v>
      </c>
      <c r="C199" s="243">
        <v>34720</v>
      </c>
      <c r="D199" s="243">
        <v>80317</v>
      </c>
      <c r="E199" s="243">
        <v>10158</v>
      </c>
      <c r="F199" s="243">
        <v>3134</v>
      </c>
      <c r="G199" s="12">
        <f t="shared" si="5"/>
        <v>407584</v>
      </c>
    </row>
    <row r="200" spans="1:7" ht="15" customHeight="1">
      <c r="A200" s="467">
        <v>2002</v>
      </c>
      <c r="B200" s="468">
        <v>289849</v>
      </c>
      <c r="C200" s="468">
        <v>35232</v>
      </c>
      <c r="D200" s="468">
        <v>83291</v>
      </c>
      <c r="E200" s="468">
        <v>11463</v>
      </c>
      <c r="F200" s="468">
        <v>3421</v>
      </c>
      <c r="G200" s="479">
        <f t="shared" si="5"/>
        <v>423256</v>
      </c>
    </row>
    <row r="201" spans="1:7" ht="15" customHeight="1">
      <c r="A201" s="20">
        <v>2003</v>
      </c>
      <c r="B201" s="243">
        <v>298146</v>
      </c>
      <c r="C201" s="243">
        <v>35218</v>
      </c>
      <c r="D201" s="243">
        <v>86002</v>
      </c>
      <c r="E201" s="243">
        <v>13051</v>
      </c>
      <c r="F201" s="243">
        <v>3654</v>
      </c>
      <c r="G201" s="12">
        <f t="shared" si="5"/>
        <v>436071</v>
      </c>
    </row>
    <row r="202" spans="1:7" ht="15" customHeight="1">
      <c r="A202" s="467">
        <v>2004</v>
      </c>
      <c r="B202" s="468">
        <v>313538</v>
      </c>
      <c r="C202" s="468">
        <v>37181</v>
      </c>
      <c r="D202" s="468">
        <v>90615</v>
      </c>
      <c r="E202" s="468">
        <v>14911</v>
      </c>
      <c r="F202" s="468">
        <v>3894</v>
      </c>
      <c r="G202" s="479">
        <f t="shared" si="5"/>
        <v>460139</v>
      </c>
    </row>
    <row r="203" spans="1:7" ht="15" customHeight="1">
      <c r="A203" s="20">
        <v>2005</v>
      </c>
      <c r="B203" s="243">
        <v>328311</v>
      </c>
      <c r="C203" s="243">
        <v>41031</v>
      </c>
      <c r="D203" s="243">
        <v>95685</v>
      </c>
      <c r="E203" s="243">
        <v>16606</v>
      </c>
      <c r="F203" s="243">
        <v>3983</v>
      </c>
      <c r="G203" s="12">
        <f t="shared" si="5"/>
        <v>485616</v>
      </c>
    </row>
    <row r="204" spans="1:7" ht="15" customHeight="1">
      <c r="A204" s="467">
        <v>2006</v>
      </c>
      <c r="B204" s="468">
        <v>340000</v>
      </c>
      <c r="C204" s="468">
        <v>45724</v>
      </c>
      <c r="D204" s="468">
        <v>99747</v>
      </c>
      <c r="E204" s="468">
        <v>18506</v>
      </c>
      <c r="F204" s="468">
        <v>3960</v>
      </c>
      <c r="G204" s="479">
        <f t="shared" si="5"/>
        <v>507937</v>
      </c>
    </row>
    <row r="205" spans="1:7" ht="15" customHeight="1">
      <c r="A205" s="20">
        <v>2007</v>
      </c>
      <c r="B205" s="243">
        <v>359252</v>
      </c>
      <c r="C205" s="243">
        <v>50572</v>
      </c>
      <c r="D205" s="243">
        <v>105752</v>
      </c>
      <c r="E205" s="243">
        <v>20332</v>
      </c>
      <c r="F205" s="243">
        <v>4349</v>
      </c>
      <c r="G205" s="12">
        <f t="shared" si="5"/>
        <v>540257</v>
      </c>
    </row>
    <row r="206" spans="1:7" ht="15" customHeight="1">
      <c r="A206" s="467">
        <v>2008</v>
      </c>
      <c r="B206" s="468">
        <v>366305</v>
      </c>
      <c r="C206" s="468">
        <v>53959</v>
      </c>
      <c r="D206" s="468">
        <v>106596</v>
      </c>
      <c r="E206" s="468">
        <v>20694</v>
      </c>
      <c r="F206" s="468">
        <v>4326</v>
      </c>
      <c r="G206" s="479">
        <f t="shared" si="5"/>
        <v>551880</v>
      </c>
    </row>
    <row r="207" spans="1:7" ht="15" customHeight="1">
      <c r="A207" s="20">
        <v>2009</v>
      </c>
      <c r="B207" s="243">
        <v>368146</v>
      </c>
      <c r="C207" s="243">
        <v>55734</v>
      </c>
      <c r="D207" s="243">
        <v>105979</v>
      </c>
      <c r="E207" s="243">
        <v>20574</v>
      </c>
      <c r="F207" s="243">
        <v>4183</v>
      </c>
      <c r="G207" s="12">
        <f t="shared" si="5"/>
        <v>554616</v>
      </c>
    </row>
    <row r="208" spans="1:7" ht="15" customHeight="1">
      <c r="A208" s="467">
        <v>2010</v>
      </c>
      <c r="B208" s="468">
        <v>371548</v>
      </c>
      <c r="C208" s="468">
        <v>57533</v>
      </c>
      <c r="D208" s="468">
        <v>105502</v>
      </c>
      <c r="E208" s="468">
        <v>20482</v>
      </c>
      <c r="F208" s="468">
        <v>3929</v>
      </c>
      <c r="G208" s="479">
        <f t="shared" si="5"/>
        <v>558994</v>
      </c>
    </row>
    <row r="209" spans="1:7" ht="15" customHeight="1">
      <c r="A209" s="20">
        <v>2011</v>
      </c>
      <c r="B209" s="243">
        <v>373732</v>
      </c>
      <c r="C209" s="243">
        <v>59410</v>
      </c>
      <c r="D209" s="243">
        <v>104653</v>
      </c>
      <c r="E209" s="243">
        <f>1019+19353</f>
        <v>20372</v>
      </c>
      <c r="F209" s="243">
        <v>3716</v>
      </c>
      <c r="G209" s="759">
        <f t="shared" si="5"/>
        <v>561883</v>
      </c>
    </row>
    <row r="210" spans="1:9" s="9" customFormat="1" ht="15" customHeight="1">
      <c r="A210" s="475">
        <v>2012</v>
      </c>
      <c r="B210" s="468">
        <v>374085</v>
      </c>
      <c r="C210" s="468">
        <v>60561</v>
      </c>
      <c r="D210" s="468">
        <v>103425</v>
      </c>
      <c r="E210" s="468">
        <v>19895</v>
      </c>
      <c r="F210" s="468">
        <v>3408</v>
      </c>
      <c r="G210" s="479">
        <f t="shared" si="5"/>
        <v>561374</v>
      </c>
      <c r="I210" s="22"/>
    </row>
    <row r="211" spans="1:9" s="9" customFormat="1" ht="15" customHeight="1">
      <c r="A211" s="308">
        <v>2013</v>
      </c>
      <c r="B211" s="30">
        <v>372010</v>
      </c>
      <c r="C211" s="30">
        <v>61466</v>
      </c>
      <c r="D211" s="30">
        <v>101559</v>
      </c>
      <c r="E211" s="30">
        <v>19669</v>
      </c>
      <c r="F211" s="30">
        <v>3281</v>
      </c>
      <c r="G211" s="759">
        <f t="shared" si="5"/>
        <v>557985</v>
      </c>
      <c r="I211" s="22"/>
    </row>
    <row r="212" spans="1:9" s="9" customFormat="1" ht="15" customHeight="1">
      <c r="A212" s="475">
        <v>2014</v>
      </c>
      <c r="B212" s="476">
        <v>372948</v>
      </c>
      <c r="C212" s="476">
        <v>63188</v>
      </c>
      <c r="D212" s="476">
        <v>100741</v>
      </c>
      <c r="E212" s="476">
        <v>20015</v>
      </c>
      <c r="F212" s="476">
        <v>3351</v>
      </c>
      <c r="G212" s="479">
        <f t="shared" si="5"/>
        <v>560243</v>
      </c>
      <c r="I212" s="22"/>
    </row>
    <row r="213" spans="1:9" s="9" customFormat="1" ht="15" customHeight="1">
      <c r="A213" s="308">
        <v>2015</v>
      </c>
      <c r="B213" s="30">
        <v>378421</v>
      </c>
      <c r="C213" s="30">
        <v>65444</v>
      </c>
      <c r="D213" s="30">
        <v>100374</v>
      </c>
      <c r="E213" s="30">
        <v>18961</v>
      </c>
      <c r="F213" s="30">
        <v>3492</v>
      </c>
      <c r="G213" s="759">
        <f t="shared" si="5"/>
        <v>566692</v>
      </c>
      <c r="I213" s="22"/>
    </row>
    <row r="214" spans="1:9" s="9" customFormat="1" ht="15" customHeight="1">
      <c r="A214" s="475">
        <v>2016</v>
      </c>
      <c r="B214" s="476">
        <v>387735</v>
      </c>
      <c r="C214" s="476">
        <v>68013</v>
      </c>
      <c r="D214" s="476">
        <v>100253</v>
      </c>
      <c r="E214" s="476">
        <f>1116+18261</f>
        <v>19377</v>
      </c>
      <c r="F214" s="476">
        <v>3650</v>
      </c>
      <c r="G214" s="479">
        <f t="shared" si="5"/>
        <v>579028</v>
      </c>
      <c r="I214" s="22"/>
    </row>
    <row r="215" spans="1:9" s="9" customFormat="1" ht="15" customHeight="1">
      <c r="A215" s="760" t="s">
        <v>1153</v>
      </c>
      <c r="B215" s="758">
        <v>400911</v>
      </c>
      <c r="C215" s="758">
        <v>70375</v>
      </c>
      <c r="D215" s="758">
        <v>98027</v>
      </c>
      <c r="E215" s="758">
        <f>1132+18594</f>
        <v>19726</v>
      </c>
      <c r="F215" s="758">
        <v>3729</v>
      </c>
      <c r="G215" s="759">
        <f t="shared" si="5"/>
        <v>592768</v>
      </c>
      <c r="I215" s="22"/>
    </row>
    <row r="216" spans="1:9" s="9" customFormat="1" ht="15" customHeight="1">
      <c r="A216" s="475">
        <v>2018</v>
      </c>
      <c r="B216" s="476">
        <v>409999</v>
      </c>
      <c r="C216" s="476">
        <v>73014</v>
      </c>
      <c r="D216" s="476">
        <v>100290</v>
      </c>
      <c r="E216" s="476">
        <v>19472</v>
      </c>
      <c r="F216" s="476">
        <v>3567</v>
      </c>
      <c r="G216" s="479">
        <f t="shared" si="5"/>
        <v>606342</v>
      </c>
      <c r="I216" s="22"/>
    </row>
    <row r="217" spans="1:7" ht="15" customHeight="1">
      <c r="A217" s="24"/>
      <c r="B217" s="5"/>
      <c r="C217" s="5"/>
      <c r="D217" s="5"/>
      <c r="E217" s="5"/>
      <c r="F217" s="5"/>
      <c r="G217" s="311"/>
    </row>
    <row r="219" ht="12" customHeight="1">
      <c r="A219" s="506" t="s">
        <v>1299</v>
      </c>
    </row>
    <row r="221" spans="1:2" ht="12" customHeight="1">
      <c r="A221" s="2" t="s">
        <v>1152</v>
      </c>
      <c r="B221" s="2" t="s">
        <v>1303</v>
      </c>
    </row>
  </sheetData>
  <sheetProtection/>
  <mergeCells count="7">
    <mergeCell ref="M19:M21"/>
    <mergeCell ref="N19:N21"/>
    <mergeCell ref="O155:O157"/>
    <mergeCell ref="I19:I21"/>
    <mergeCell ref="J19:J21"/>
    <mergeCell ref="K19:K21"/>
    <mergeCell ref="L19:L21"/>
  </mergeCells>
  <printOptions/>
  <pageMargins left="0.1968503937007874" right="0.75" top="0.5511811023622047" bottom="0" header="0" footer="0"/>
  <pageSetup horizontalDpi="600" verticalDpi="600" orientation="portrait" paperSize="9" r:id="rId2"/>
  <rowBreaks count="4" manualBreakCount="4">
    <brk id="44" max="7" man="1"/>
    <brk id="88" max="7" man="1"/>
    <brk id="132" max="7" man="1"/>
    <brk id="176" max="7" man="1"/>
  </rowBreaks>
  <ignoredErrors>
    <ignoredError sqref="E10:F30 G10:G18 E54:F77 G54:G62 E98:F117 G98:G106 E142:F165 G142:G150 E185:F204 G185:G194" unlockedFormula="1"/>
    <ignoredError sqref="G19:G30 G63:G75 G107:G117 G118:G119 G151:G163 G195:G204 G205:G207 G120:G128 G164:G172 G208:G216 G32" formulaRange="1" unlockedFormula="1"/>
    <ignoredError sqref="H19:H34 G31 H63:H78 G173:G175 G84:G85 G129 G36:G38 G76:G82 G40" formulaRange="1"/>
    <ignoredError sqref="G32" formula="1" formulaRange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L50"/>
  <sheetViews>
    <sheetView showGridLines="0" workbookViewId="0" topLeftCell="A1">
      <selection activeCell="G19" sqref="G19"/>
    </sheetView>
  </sheetViews>
  <sheetFormatPr defaultColWidth="9.140625" defaultRowHeight="12.75"/>
  <cols>
    <col min="1" max="1" width="7.00390625" style="343" customWidth="1"/>
    <col min="2" max="2" width="9.421875" style="347" hidden="1" customWidth="1"/>
    <col min="3" max="3" width="8.421875" style="347" hidden="1" customWidth="1"/>
    <col min="4" max="4" width="1.57421875" style="0" hidden="1" customWidth="1"/>
    <col min="5" max="5" width="9.421875" style="347" hidden="1" customWidth="1"/>
    <col min="6" max="6" width="8.421875" style="347" hidden="1" customWidth="1"/>
    <col min="7" max="7" width="1.28515625" style="2" hidden="1" customWidth="1"/>
    <col min="8" max="8" width="9.421875" style="347" hidden="1" customWidth="1"/>
    <col min="9" max="9" width="8.421875" style="347" hidden="1" customWidth="1"/>
    <col min="10" max="10" width="1.421875" style="2" hidden="1" customWidth="1"/>
    <col min="11" max="11" width="9.421875" style="347" hidden="1" customWidth="1"/>
    <col min="12" max="12" width="8.421875" style="347" hidden="1" customWidth="1"/>
    <col min="13" max="13" width="1.28515625" style="2" hidden="1" customWidth="1"/>
    <col min="14" max="14" width="9.421875" style="347" hidden="1" customWidth="1"/>
    <col min="15" max="15" width="8.421875" style="347" hidden="1" customWidth="1"/>
    <col min="16" max="16" width="0.9921875" style="2" customWidth="1"/>
    <col min="17" max="17" width="9.00390625" style="2" hidden="1" customWidth="1"/>
    <col min="18" max="18" width="8.421875" style="2" hidden="1" customWidth="1"/>
    <col min="19" max="19" width="2.00390625" style="2" hidden="1" customWidth="1"/>
    <col min="20" max="20" width="9.00390625" style="2" customWidth="1"/>
    <col min="21" max="21" width="7.8515625" style="2" customWidth="1"/>
    <col min="22" max="22" width="1.421875" style="2" customWidth="1"/>
    <col min="23" max="23" width="9.140625" style="2" customWidth="1"/>
    <col min="24" max="24" width="7.8515625" style="2" customWidth="1"/>
    <col min="25" max="25" width="1.421875" style="2" customWidth="1"/>
    <col min="26" max="26" width="9.140625" style="2" customWidth="1"/>
    <col min="27" max="27" width="7.8515625" style="2" customWidth="1"/>
    <col min="28" max="28" width="1.421875" style="2" customWidth="1"/>
    <col min="29" max="30" width="7.8515625" style="2" customWidth="1"/>
    <col min="31" max="31" width="1.421875" style="2" customWidth="1"/>
    <col min="32" max="33" width="7.8515625" style="2" customWidth="1"/>
    <col min="34" max="34" width="1.421875" style="2" customWidth="1"/>
    <col min="35" max="36" width="7.8515625" style="2" customWidth="1"/>
    <col min="37" max="37" width="1.421875" style="2" customWidth="1"/>
    <col min="38" max="38" width="9.140625" style="2" customWidth="1"/>
    <col min="39" max="39" width="7.8515625" style="2" customWidth="1"/>
    <col min="40" max="40" width="1.421875" style="2" customWidth="1"/>
    <col min="41" max="41" width="9.140625" style="2" customWidth="1"/>
    <col min="42" max="42" width="7.8515625" style="2" customWidth="1"/>
    <col min="43" max="43" width="1.421875" style="2" customWidth="1"/>
    <col min="44" max="44" width="7.00390625" style="343" customWidth="1"/>
    <col min="45" max="45" width="9.140625" style="2" customWidth="1"/>
    <col min="46" max="46" width="7.8515625" style="2" customWidth="1"/>
    <col min="47" max="47" width="1.421875" style="2" customWidth="1"/>
    <col min="48" max="48" width="9.140625" style="2" customWidth="1"/>
    <col min="49" max="49" width="7.8515625" style="2" customWidth="1"/>
    <col min="50" max="50" width="1.421875" style="2" customWidth="1"/>
    <col min="51" max="52" width="9.140625" style="2" customWidth="1"/>
    <col min="53" max="53" width="1.421875" style="2" customWidth="1"/>
    <col min="54" max="55" width="9.140625" style="2" customWidth="1"/>
    <col min="56" max="56" width="1.421875" style="2" customWidth="1"/>
    <col min="57" max="58" width="9.140625" style="2" customWidth="1"/>
    <col min="59" max="59" width="1.421875" style="2" customWidth="1"/>
    <col min="60" max="61" width="9.140625" style="2" customWidth="1"/>
    <col min="62" max="62" width="1.28515625" style="2" customWidth="1"/>
    <col min="63" max="16384" width="9.140625" style="2" customWidth="1"/>
  </cols>
  <sheetData>
    <row r="1" spans="1:47" s="82" customFormat="1" ht="15">
      <c r="A1" s="344" t="s">
        <v>1115</v>
      </c>
      <c r="B1" s="347"/>
      <c r="C1" s="347"/>
      <c r="D1" s="349"/>
      <c r="E1" s="347"/>
      <c r="F1" s="347"/>
      <c r="G1" s="349"/>
      <c r="H1" s="347"/>
      <c r="I1" s="347"/>
      <c r="J1" s="349"/>
      <c r="K1" s="347"/>
      <c r="L1" s="347"/>
      <c r="M1" s="349"/>
      <c r="N1" s="347"/>
      <c r="O1" s="347"/>
      <c r="AF1" s="344"/>
      <c r="AG1" s="347"/>
      <c r="AH1" s="347"/>
      <c r="AI1" s="349"/>
      <c r="AJ1" s="347"/>
      <c r="AK1" s="347"/>
      <c r="AL1" s="349"/>
      <c r="AM1" s="347"/>
      <c r="AN1" s="347"/>
      <c r="AO1" s="349"/>
      <c r="AP1" s="347"/>
      <c r="AQ1" s="347"/>
      <c r="AR1" s="344" t="s">
        <v>1115</v>
      </c>
      <c r="AS1" s="344"/>
      <c r="AT1" s="344"/>
      <c r="AU1" s="347"/>
    </row>
    <row r="2" spans="1:47" s="82" customFormat="1" ht="15">
      <c r="A2" s="344" t="s">
        <v>1156</v>
      </c>
      <c r="B2" s="347"/>
      <c r="C2" s="347"/>
      <c r="D2" s="349"/>
      <c r="E2" s="347"/>
      <c r="F2" s="347"/>
      <c r="G2" s="349"/>
      <c r="H2" s="347"/>
      <c r="I2" s="347"/>
      <c r="J2" s="349"/>
      <c r="K2" s="347"/>
      <c r="L2" s="347"/>
      <c r="M2" s="349"/>
      <c r="N2" s="347"/>
      <c r="O2" s="347"/>
      <c r="AC2" s="344"/>
      <c r="AF2" s="344"/>
      <c r="AG2" s="347"/>
      <c r="AH2" s="347"/>
      <c r="AI2" s="349"/>
      <c r="AJ2" s="347"/>
      <c r="AK2" s="347"/>
      <c r="AL2" s="349"/>
      <c r="AM2" s="347"/>
      <c r="AN2" s="344"/>
      <c r="AO2" s="344" t="s">
        <v>1116</v>
      </c>
      <c r="AP2" s="344"/>
      <c r="AQ2" s="347"/>
      <c r="AR2" s="344" t="s">
        <v>1156</v>
      </c>
      <c r="AS2" s="344"/>
      <c r="AT2" s="344"/>
      <c r="AU2" s="347"/>
    </row>
    <row r="3" spans="1:44" s="349" customFormat="1" ht="11.25" customHeight="1">
      <c r="A3" s="348"/>
      <c r="B3" s="348"/>
      <c r="C3" s="348"/>
      <c r="E3" s="348"/>
      <c r="F3" s="348"/>
      <c r="H3" s="348"/>
      <c r="I3" s="348"/>
      <c r="K3" s="348"/>
      <c r="L3" s="348"/>
      <c r="N3" s="348"/>
      <c r="O3" s="348"/>
      <c r="S3" s="359"/>
      <c r="V3" s="359"/>
      <c r="AR3" s="348"/>
    </row>
    <row r="4" spans="1:64" s="349" customFormat="1" ht="18" customHeight="1">
      <c r="A4" s="529"/>
      <c r="B4" s="797">
        <v>1998</v>
      </c>
      <c r="C4" s="797"/>
      <c r="D4" s="360"/>
      <c r="E4" s="797">
        <v>1999</v>
      </c>
      <c r="F4" s="797"/>
      <c r="G4" s="360"/>
      <c r="H4" s="797">
        <v>2000</v>
      </c>
      <c r="I4" s="797"/>
      <c r="J4" s="360"/>
      <c r="K4" s="797">
        <v>2001</v>
      </c>
      <c r="L4" s="797"/>
      <c r="M4" s="360"/>
      <c r="N4" s="797">
        <v>2002</v>
      </c>
      <c r="O4" s="797"/>
      <c r="P4" s="360"/>
      <c r="Q4" s="797">
        <v>2003</v>
      </c>
      <c r="R4" s="797"/>
      <c r="T4" s="796">
        <v>2004</v>
      </c>
      <c r="U4" s="796"/>
      <c r="W4" s="796">
        <v>2005</v>
      </c>
      <c r="X4" s="796"/>
      <c r="Y4" s="361"/>
      <c r="Z4" s="796">
        <v>2006</v>
      </c>
      <c r="AA4" s="796"/>
      <c r="AB4" s="361"/>
      <c r="AC4" s="796">
        <v>2007</v>
      </c>
      <c r="AD4" s="796"/>
      <c r="AE4" s="361"/>
      <c r="AF4" s="796">
        <v>2008</v>
      </c>
      <c r="AG4" s="796"/>
      <c r="AH4" s="361"/>
      <c r="AI4" s="796">
        <v>2009</v>
      </c>
      <c r="AJ4" s="796"/>
      <c r="AK4" s="361"/>
      <c r="AL4" s="796">
        <v>2010</v>
      </c>
      <c r="AM4" s="796"/>
      <c r="AN4" s="361"/>
      <c r="AO4" s="796">
        <v>2011</v>
      </c>
      <c r="AP4" s="796"/>
      <c r="AQ4" s="361"/>
      <c r="AR4" s="773"/>
      <c r="AS4" s="796">
        <v>2012</v>
      </c>
      <c r="AT4" s="796"/>
      <c r="AU4" s="361"/>
      <c r="AV4" s="796">
        <v>2013</v>
      </c>
      <c r="AW4" s="796"/>
      <c r="AX4" s="345"/>
      <c r="AY4" s="796">
        <v>2014</v>
      </c>
      <c r="AZ4" s="796"/>
      <c r="BA4" s="530"/>
      <c r="BB4" s="796">
        <v>2015</v>
      </c>
      <c r="BC4" s="796"/>
      <c r="BD4" s="345"/>
      <c r="BE4" s="796">
        <v>2016</v>
      </c>
      <c r="BF4" s="796"/>
      <c r="BH4" s="796">
        <v>2017</v>
      </c>
      <c r="BI4" s="796"/>
      <c r="BK4" s="796">
        <v>2018</v>
      </c>
      <c r="BL4" s="796"/>
    </row>
    <row r="5" spans="1:64" s="350" customFormat="1" ht="39.75" customHeight="1">
      <c r="A5" s="521" t="s">
        <v>1005</v>
      </c>
      <c r="B5" s="340" t="s">
        <v>1069</v>
      </c>
      <c r="C5" s="340" t="s">
        <v>1070</v>
      </c>
      <c r="D5" s="362"/>
      <c r="E5" s="340" t="s">
        <v>1069</v>
      </c>
      <c r="F5" s="340" t="s">
        <v>1070</v>
      </c>
      <c r="G5" s="362"/>
      <c r="H5" s="340" t="s">
        <v>1069</v>
      </c>
      <c r="I5" s="340" t="s">
        <v>1070</v>
      </c>
      <c r="J5" s="362"/>
      <c r="K5" s="340" t="s">
        <v>1069</v>
      </c>
      <c r="L5" s="340" t="s">
        <v>1070</v>
      </c>
      <c r="M5" s="362"/>
      <c r="N5" s="340" t="s">
        <v>1069</v>
      </c>
      <c r="O5" s="340" t="s">
        <v>1070</v>
      </c>
      <c r="P5" s="362"/>
      <c r="Q5" s="340" t="s">
        <v>1069</v>
      </c>
      <c r="R5" s="340" t="s">
        <v>1070</v>
      </c>
      <c r="S5" s="362"/>
      <c r="T5" s="522" t="s">
        <v>1069</v>
      </c>
      <c r="U5" s="522" t="s">
        <v>1070</v>
      </c>
      <c r="V5" s="362"/>
      <c r="W5" s="522" t="s">
        <v>1069</v>
      </c>
      <c r="X5" s="522" t="s">
        <v>1070</v>
      </c>
      <c r="Y5" s="340"/>
      <c r="Z5" s="522" t="s">
        <v>1069</v>
      </c>
      <c r="AA5" s="522" t="s">
        <v>1070</v>
      </c>
      <c r="AB5" s="340"/>
      <c r="AC5" s="522" t="s">
        <v>1069</v>
      </c>
      <c r="AD5" s="522" t="s">
        <v>1070</v>
      </c>
      <c r="AE5" s="340"/>
      <c r="AF5" s="522" t="s">
        <v>1069</v>
      </c>
      <c r="AG5" s="522" t="s">
        <v>1070</v>
      </c>
      <c r="AH5" s="340"/>
      <c r="AI5" s="522" t="s">
        <v>1069</v>
      </c>
      <c r="AJ5" s="522" t="s">
        <v>1070</v>
      </c>
      <c r="AK5" s="340"/>
      <c r="AL5" s="522" t="s">
        <v>1069</v>
      </c>
      <c r="AM5" s="522" t="s">
        <v>1070</v>
      </c>
      <c r="AN5" s="340"/>
      <c r="AO5" s="522" t="s">
        <v>1069</v>
      </c>
      <c r="AP5" s="522" t="s">
        <v>1070</v>
      </c>
      <c r="AQ5" s="340"/>
      <c r="AR5" s="521" t="s">
        <v>1005</v>
      </c>
      <c r="AS5" s="522" t="s">
        <v>1069</v>
      </c>
      <c r="AT5" s="522" t="s">
        <v>1070</v>
      </c>
      <c r="AU5" s="340"/>
      <c r="AV5" s="522" t="s">
        <v>1069</v>
      </c>
      <c r="AW5" s="522" t="s">
        <v>1070</v>
      </c>
      <c r="AX5" s="340"/>
      <c r="AY5" s="522" t="s">
        <v>1069</v>
      </c>
      <c r="AZ5" s="522" t="s">
        <v>1108</v>
      </c>
      <c r="BA5" s="531"/>
      <c r="BB5" s="522" t="s">
        <v>1069</v>
      </c>
      <c r="BC5" s="522" t="s">
        <v>1108</v>
      </c>
      <c r="BD5" s="340"/>
      <c r="BE5" s="522" t="s">
        <v>1069</v>
      </c>
      <c r="BF5" s="522" t="s">
        <v>1108</v>
      </c>
      <c r="BH5" s="522" t="s">
        <v>1069</v>
      </c>
      <c r="BI5" s="522" t="s">
        <v>1108</v>
      </c>
      <c r="BK5" s="522" t="s">
        <v>1069</v>
      </c>
      <c r="BL5" s="522" t="s">
        <v>1108</v>
      </c>
    </row>
    <row r="6" spans="1:64" s="350" customFormat="1" ht="12">
      <c r="A6" s="351"/>
      <c r="B6" s="352"/>
      <c r="C6" s="352"/>
      <c r="E6" s="352"/>
      <c r="F6" s="352"/>
      <c r="H6" s="352"/>
      <c r="I6" s="352"/>
      <c r="K6" s="352"/>
      <c r="L6" s="352"/>
      <c r="N6" s="352"/>
      <c r="O6" s="352"/>
      <c r="Q6" s="352"/>
      <c r="R6" s="352"/>
      <c r="AR6" s="351"/>
      <c r="AY6" s="341"/>
      <c r="AZ6" s="341"/>
      <c r="BA6" s="341"/>
      <c r="BB6" s="341"/>
      <c r="BC6" s="341"/>
      <c r="BD6" s="341"/>
      <c r="BE6" s="341"/>
      <c r="BF6" s="341"/>
      <c r="BH6" s="341"/>
      <c r="BI6" s="341"/>
      <c r="BK6" s="341"/>
      <c r="BL6" s="341"/>
    </row>
    <row r="7" spans="1:64" s="350" customFormat="1" ht="12">
      <c r="A7" s="363" t="s">
        <v>1007</v>
      </c>
      <c r="B7" s="364">
        <v>91</v>
      </c>
      <c r="C7" s="364">
        <v>10</v>
      </c>
      <c r="D7" s="365"/>
      <c r="E7" s="364">
        <v>70</v>
      </c>
      <c r="F7" s="364">
        <v>12</v>
      </c>
      <c r="G7" s="365"/>
      <c r="H7" s="364">
        <v>70</v>
      </c>
      <c r="I7" s="364">
        <v>13</v>
      </c>
      <c r="J7" s="365"/>
      <c r="K7" s="364">
        <v>85</v>
      </c>
      <c r="L7" s="364">
        <v>10</v>
      </c>
      <c r="M7" s="365"/>
      <c r="N7" s="364">
        <v>60</v>
      </c>
      <c r="O7" s="364">
        <v>10</v>
      </c>
      <c r="Q7" s="364">
        <v>59</v>
      </c>
      <c r="R7" s="364">
        <v>6</v>
      </c>
      <c r="T7" s="343">
        <v>61</v>
      </c>
      <c r="U7" s="343">
        <v>11</v>
      </c>
      <c r="W7" s="343">
        <v>25</v>
      </c>
      <c r="X7" s="343">
        <v>14</v>
      </c>
      <c r="Y7" s="343"/>
      <c r="Z7" s="343">
        <v>112</v>
      </c>
      <c r="AA7" s="343">
        <v>12</v>
      </c>
      <c r="AB7" s="343"/>
      <c r="AC7" s="343">
        <v>131</v>
      </c>
      <c r="AD7" s="343">
        <v>8</v>
      </c>
      <c r="AE7" s="343"/>
      <c r="AF7" s="343">
        <v>105</v>
      </c>
      <c r="AG7" s="343">
        <v>8</v>
      </c>
      <c r="AH7" s="343"/>
      <c r="AI7" s="343">
        <v>112</v>
      </c>
      <c r="AJ7" s="343">
        <v>9</v>
      </c>
      <c r="AK7" s="343"/>
      <c r="AL7" s="343">
        <v>103</v>
      </c>
      <c r="AM7" s="343">
        <v>7</v>
      </c>
      <c r="AN7" s="343"/>
      <c r="AO7" s="343">
        <v>79</v>
      </c>
      <c r="AP7" s="343">
        <v>6</v>
      </c>
      <c r="AQ7" s="343"/>
      <c r="AR7" s="363" t="s">
        <v>1007</v>
      </c>
      <c r="AS7" s="343">
        <v>109</v>
      </c>
      <c r="AT7" s="343">
        <v>7</v>
      </c>
      <c r="AU7" s="343"/>
      <c r="AV7" s="341">
        <v>96</v>
      </c>
      <c r="AW7" s="341">
        <v>5</v>
      </c>
      <c r="AX7" s="341"/>
      <c r="AY7" s="341">
        <v>90</v>
      </c>
      <c r="AZ7" s="341">
        <v>3</v>
      </c>
      <c r="BA7" s="341"/>
      <c r="BB7" s="341">
        <v>104</v>
      </c>
      <c r="BC7" s="341">
        <v>3</v>
      </c>
      <c r="BD7" s="341"/>
      <c r="BE7" s="341">
        <v>98</v>
      </c>
      <c r="BF7" s="341">
        <v>2</v>
      </c>
      <c r="BH7" s="341">
        <v>81</v>
      </c>
      <c r="BI7" s="341">
        <v>8</v>
      </c>
      <c r="BK7" s="341">
        <v>110</v>
      </c>
      <c r="BL7" s="341">
        <v>9</v>
      </c>
    </row>
    <row r="8" spans="1:64" s="350" customFormat="1" ht="12">
      <c r="A8" s="534" t="s">
        <v>395</v>
      </c>
      <c r="B8" s="535">
        <v>61</v>
      </c>
      <c r="C8" s="535">
        <v>3</v>
      </c>
      <c r="D8" s="536"/>
      <c r="E8" s="535">
        <v>53</v>
      </c>
      <c r="F8" s="535">
        <v>6</v>
      </c>
      <c r="G8" s="536"/>
      <c r="H8" s="535">
        <v>78</v>
      </c>
      <c r="I8" s="535">
        <v>6</v>
      </c>
      <c r="J8" s="536"/>
      <c r="K8" s="535">
        <v>80</v>
      </c>
      <c r="L8" s="535">
        <v>9</v>
      </c>
      <c r="M8" s="536"/>
      <c r="N8" s="535">
        <v>65</v>
      </c>
      <c r="O8" s="535">
        <v>12</v>
      </c>
      <c r="P8" s="537"/>
      <c r="Q8" s="535">
        <v>47</v>
      </c>
      <c r="R8" s="535">
        <v>6</v>
      </c>
      <c r="S8" s="537"/>
      <c r="T8" s="538">
        <v>28</v>
      </c>
      <c r="U8" s="538">
        <v>3</v>
      </c>
      <c r="V8" s="537"/>
      <c r="W8" s="538">
        <v>25</v>
      </c>
      <c r="X8" s="538">
        <v>9</v>
      </c>
      <c r="Y8" s="538"/>
      <c r="Z8" s="538">
        <v>83</v>
      </c>
      <c r="AA8" s="538">
        <v>5</v>
      </c>
      <c r="AB8" s="538"/>
      <c r="AC8" s="538">
        <v>81</v>
      </c>
      <c r="AD8" s="538">
        <v>7</v>
      </c>
      <c r="AE8" s="538"/>
      <c r="AF8" s="538">
        <v>73</v>
      </c>
      <c r="AG8" s="538">
        <v>3</v>
      </c>
      <c r="AH8" s="538"/>
      <c r="AI8" s="538">
        <v>64</v>
      </c>
      <c r="AJ8" s="538">
        <v>2</v>
      </c>
      <c r="AK8" s="538"/>
      <c r="AL8" s="538">
        <v>49</v>
      </c>
      <c r="AM8" s="538">
        <v>3</v>
      </c>
      <c r="AN8" s="538"/>
      <c r="AO8" s="538">
        <v>51</v>
      </c>
      <c r="AP8" s="538">
        <v>3</v>
      </c>
      <c r="AQ8" s="343"/>
      <c r="AR8" s="534" t="s">
        <v>395</v>
      </c>
      <c r="AS8" s="538">
        <v>48</v>
      </c>
      <c r="AT8" s="538">
        <v>8</v>
      </c>
      <c r="AU8" s="538"/>
      <c r="AV8" s="538">
        <v>59</v>
      </c>
      <c r="AW8" s="538">
        <v>0</v>
      </c>
      <c r="AX8" s="538"/>
      <c r="AY8" s="541">
        <v>47</v>
      </c>
      <c r="AZ8" s="541">
        <v>5</v>
      </c>
      <c r="BA8" s="541"/>
      <c r="BB8" s="541">
        <v>56</v>
      </c>
      <c r="BC8" s="541">
        <v>2</v>
      </c>
      <c r="BD8" s="541"/>
      <c r="BE8" s="541">
        <v>61</v>
      </c>
      <c r="BF8" s="541">
        <v>0</v>
      </c>
      <c r="BH8" s="541">
        <v>61</v>
      </c>
      <c r="BI8" s="541">
        <v>3</v>
      </c>
      <c r="BK8" s="541">
        <v>56</v>
      </c>
      <c r="BL8" s="541">
        <v>0</v>
      </c>
    </row>
    <row r="9" spans="1:64" s="350" customFormat="1" ht="12">
      <c r="A9" s="363" t="s">
        <v>1008</v>
      </c>
      <c r="B9" s="364">
        <v>157</v>
      </c>
      <c r="C9" s="364">
        <v>15</v>
      </c>
      <c r="D9" s="365"/>
      <c r="E9" s="364">
        <v>163</v>
      </c>
      <c r="F9" s="364">
        <v>24</v>
      </c>
      <c r="G9" s="365"/>
      <c r="H9" s="364">
        <v>215</v>
      </c>
      <c r="I9" s="364">
        <v>16</v>
      </c>
      <c r="J9" s="365"/>
      <c r="K9" s="364">
        <v>178</v>
      </c>
      <c r="L9" s="364">
        <v>18</v>
      </c>
      <c r="M9" s="365"/>
      <c r="N9" s="364">
        <v>117</v>
      </c>
      <c r="O9" s="364">
        <v>13</v>
      </c>
      <c r="Q9" s="364">
        <v>119</v>
      </c>
      <c r="R9" s="364">
        <v>18</v>
      </c>
      <c r="T9" s="343">
        <v>107</v>
      </c>
      <c r="U9" s="343">
        <v>19</v>
      </c>
      <c r="W9" s="343">
        <v>49</v>
      </c>
      <c r="X9" s="343">
        <v>15</v>
      </c>
      <c r="Y9" s="343"/>
      <c r="Z9" s="343">
        <v>162</v>
      </c>
      <c r="AA9" s="343">
        <v>8</v>
      </c>
      <c r="AB9" s="343"/>
      <c r="AC9" s="343">
        <v>134</v>
      </c>
      <c r="AD9" s="343">
        <v>11</v>
      </c>
      <c r="AE9" s="343"/>
      <c r="AF9" s="343">
        <v>141</v>
      </c>
      <c r="AG9" s="343">
        <v>10</v>
      </c>
      <c r="AH9" s="343"/>
      <c r="AI9" s="343">
        <v>138</v>
      </c>
      <c r="AJ9" s="343">
        <v>8</v>
      </c>
      <c r="AK9" s="343"/>
      <c r="AL9" s="343">
        <v>140</v>
      </c>
      <c r="AM9" s="343">
        <v>8</v>
      </c>
      <c r="AN9" s="343"/>
      <c r="AO9" s="343">
        <v>132</v>
      </c>
      <c r="AP9" s="343">
        <v>4</v>
      </c>
      <c r="AQ9" s="343"/>
      <c r="AR9" s="363" t="s">
        <v>1008</v>
      </c>
      <c r="AS9" s="343">
        <v>129</v>
      </c>
      <c r="AT9" s="343">
        <v>9</v>
      </c>
      <c r="AU9" s="343"/>
      <c r="AV9" s="341">
        <v>108</v>
      </c>
      <c r="AW9" s="341">
        <v>7</v>
      </c>
      <c r="AX9" s="341"/>
      <c r="AY9" s="342">
        <v>126</v>
      </c>
      <c r="AZ9" s="342">
        <v>10</v>
      </c>
      <c r="BA9" s="342"/>
      <c r="BB9" s="342">
        <v>139</v>
      </c>
      <c r="BC9" s="342">
        <v>5</v>
      </c>
      <c r="BD9" s="342"/>
      <c r="BE9" s="342">
        <v>154</v>
      </c>
      <c r="BF9" s="342">
        <v>4</v>
      </c>
      <c r="BH9" s="342">
        <v>151</v>
      </c>
      <c r="BI9" s="342">
        <v>8</v>
      </c>
      <c r="BK9" s="342">
        <v>171</v>
      </c>
      <c r="BL9" s="342">
        <v>7</v>
      </c>
    </row>
    <row r="10" spans="1:64" s="350" customFormat="1" ht="12">
      <c r="A10" s="534" t="s">
        <v>1076</v>
      </c>
      <c r="B10" s="535">
        <v>29</v>
      </c>
      <c r="C10" s="535">
        <v>3</v>
      </c>
      <c r="D10" s="536"/>
      <c r="E10" s="535">
        <v>40</v>
      </c>
      <c r="F10" s="535">
        <v>1</v>
      </c>
      <c r="G10" s="536"/>
      <c r="H10" s="535">
        <v>37</v>
      </c>
      <c r="I10" s="535">
        <v>2</v>
      </c>
      <c r="J10" s="536"/>
      <c r="K10" s="535">
        <v>43</v>
      </c>
      <c r="L10" s="535">
        <v>6</v>
      </c>
      <c r="M10" s="536"/>
      <c r="N10" s="535">
        <v>34</v>
      </c>
      <c r="O10" s="535">
        <v>16</v>
      </c>
      <c r="P10" s="537"/>
      <c r="Q10" s="535">
        <v>31</v>
      </c>
      <c r="R10" s="535">
        <v>6</v>
      </c>
      <c r="S10" s="537"/>
      <c r="T10" s="538">
        <v>20</v>
      </c>
      <c r="U10" s="538">
        <v>2</v>
      </c>
      <c r="V10" s="537"/>
      <c r="W10" s="538">
        <v>14</v>
      </c>
      <c r="X10" s="538">
        <v>4</v>
      </c>
      <c r="Y10" s="538"/>
      <c r="Z10" s="538">
        <v>46</v>
      </c>
      <c r="AA10" s="538">
        <v>6</v>
      </c>
      <c r="AB10" s="538"/>
      <c r="AC10" s="538">
        <v>33</v>
      </c>
      <c r="AD10" s="538">
        <v>0</v>
      </c>
      <c r="AE10" s="538"/>
      <c r="AF10" s="538">
        <v>49</v>
      </c>
      <c r="AG10" s="538">
        <v>2</v>
      </c>
      <c r="AH10" s="538"/>
      <c r="AI10" s="538">
        <v>38</v>
      </c>
      <c r="AJ10" s="538">
        <v>3</v>
      </c>
      <c r="AK10" s="538"/>
      <c r="AL10" s="538">
        <v>50</v>
      </c>
      <c r="AM10" s="538">
        <v>5</v>
      </c>
      <c r="AN10" s="538"/>
      <c r="AO10" s="538">
        <v>37</v>
      </c>
      <c r="AP10" s="538">
        <v>1</v>
      </c>
      <c r="AQ10" s="343"/>
      <c r="AR10" s="534" t="s">
        <v>1076</v>
      </c>
      <c r="AS10" s="538">
        <v>48</v>
      </c>
      <c r="AT10" s="538">
        <v>7</v>
      </c>
      <c r="AU10" s="538"/>
      <c r="AV10" s="538">
        <v>43</v>
      </c>
      <c r="AW10" s="538">
        <v>3</v>
      </c>
      <c r="AX10" s="538"/>
      <c r="AY10" s="541">
        <v>34</v>
      </c>
      <c r="AZ10" s="541">
        <v>1</v>
      </c>
      <c r="BA10" s="541"/>
      <c r="BB10" s="541">
        <v>33</v>
      </c>
      <c r="BC10" s="541">
        <v>0</v>
      </c>
      <c r="BD10" s="541"/>
      <c r="BE10" s="541">
        <v>44</v>
      </c>
      <c r="BF10" s="541">
        <v>1</v>
      </c>
      <c r="BH10" s="541">
        <v>52</v>
      </c>
      <c r="BI10" s="541">
        <v>3</v>
      </c>
      <c r="BK10" s="541">
        <v>49</v>
      </c>
      <c r="BL10" s="541">
        <v>4</v>
      </c>
    </row>
    <row r="11" spans="1:64" s="350" customFormat="1" ht="12">
      <c r="A11" s="363" t="s">
        <v>384</v>
      </c>
      <c r="B11" s="364"/>
      <c r="C11" s="364"/>
      <c r="D11" s="365"/>
      <c r="E11" s="364"/>
      <c r="F11" s="364"/>
      <c r="G11" s="365"/>
      <c r="H11" s="364"/>
      <c r="I11" s="364"/>
      <c r="J11" s="365"/>
      <c r="K11" s="364"/>
      <c r="L11" s="364"/>
      <c r="M11" s="365"/>
      <c r="N11" s="366" t="s">
        <v>335</v>
      </c>
      <c r="O11" s="366" t="s">
        <v>335</v>
      </c>
      <c r="Q11" s="366" t="s">
        <v>335</v>
      </c>
      <c r="R11" s="366" t="s">
        <v>335</v>
      </c>
      <c r="T11" s="366" t="s">
        <v>335</v>
      </c>
      <c r="U11" s="366" t="s">
        <v>335</v>
      </c>
      <c r="W11" s="366" t="s">
        <v>335</v>
      </c>
      <c r="X11" s="366" t="s">
        <v>335</v>
      </c>
      <c r="Y11" s="343"/>
      <c r="Z11" s="366" t="s">
        <v>335</v>
      </c>
      <c r="AA11" s="366" t="s">
        <v>335</v>
      </c>
      <c r="AB11" s="343"/>
      <c r="AC11" s="366" t="s">
        <v>335</v>
      </c>
      <c r="AD11" s="366" t="s">
        <v>335</v>
      </c>
      <c r="AE11" s="343"/>
      <c r="AF11" s="366" t="s">
        <v>335</v>
      </c>
      <c r="AG11" s="366" t="s">
        <v>335</v>
      </c>
      <c r="AH11" s="343"/>
      <c r="AI11" s="343">
        <v>12</v>
      </c>
      <c r="AJ11" s="343">
        <v>0</v>
      </c>
      <c r="AK11" s="343"/>
      <c r="AL11" s="343">
        <v>10</v>
      </c>
      <c r="AM11" s="343">
        <v>0</v>
      </c>
      <c r="AN11" s="343"/>
      <c r="AO11" s="343">
        <v>6</v>
      </c>
      <c r="AP11" s="343">
        <v>0</v>
      </c>
      <c r="AQ11" s="343"/>
      <c r="AR11" s="363" t="s">
        <v>384</v>
      </c>
      <c r="AS11" s="343">
        <v>5</v>
      </c>
      <c r="AT11" s="367">
        <v>0</v>
      </c>
      <c r="AU11" s="343"/>
      <c r="AV11" s="341">
        <v>8</v>
      </c>
      <c r="AW11" s="368">
        <v>0</v>
      </c>
      <c r="AX11" s="368"/>
      <c r="AY11" s="343">
        <v>7</v>
      </c>
      <c r="AZ11" s="343">
        <v>0</v>
      </c>
      <c r="BA11" s="343"/>
      <c r="BB11" s="343">
        <v>5</v>
      </c>
      <c r="BC11" s="343">
        <v>0</v>
      </c>
      <c r="BD11" s="343"/>
      <c r="BE11" s="343">
        <v>13</v>
      </c>
      <c r="BF11" s="343">
        <v>0</v>
      </c>
      <c r="BH11" s="343">
        <v>5</v>
      </c>
      <c r="BI11" s="343">
        <v>0</v>
      </c>
      <c r="BK11" s="343">
        <v>13</v>
      </c>
      <c r="BL11" s="343">
        <v>0</v>
      </c>
    </row>
    <row r="12" spans="1:64" s="350" customFormat="1" ht="12">
      <c r="A12" s="534" t="s">
        <v>1079</v>
      </c>
      <c r="B12" s="535">
        <v>93</v>
      </c>
      <c r="C12" s="535">
        <v>15</v>
      </c>
      <c r="D12" s="536"/>
      <c r="E12" s="535">
        <v>121</v>
      </c>
      <c r="F12" s="535">
        <v>17</v>
      </c>
      <c r="G12" s="536"/>
      <c r="H12" s="535">
        <v>126</v>
      </c>
      <c r="I12" s="535">
        <v>15</v>
      </c>
      <c r="J12" s="536"/>
      <c r="K12" s="535">
        <v>107</v>
      </c>
      <c r="L12" s="535">
        <v>14</v>
      </c>
      <c r="M12" s="536"/>
      <c r="N12" s="535">
        <v>91</v>
      </c>
      <c r="O12" s="535">
        <v>11</v>
      </c>
      <c r="P12" s="537"/>
      <c r="Q12" s="535">
        <v>73</v>
      </c>
      <c r="R12" s="535">
        <v>10</v>
      </c>
      <c r="S12" s="537"/>
      <c r="T12" s="538">
        <v>59</v>
      </c>
      <c r="U12" s="538">
        <v>8</v>
      </c>
      <c r="V12" s="537"/>
      <c r="W12" s="538">
        <v>32</v>
      </c>
      <c r="X12" s="538">
        <v>12</v>
      </c>
      <c r="Y12" s="538"/>
      <c r="Z12" s="538">
        <v>117</v>
      </c>
      <c r="AA12" s="538">
        <v>9</v>
      </c>
      <c r="AB12" s="538"/>
      <c r="AC12" s="538">
        <v>125</v>
      </c>
      <c r="AD12" s="538">
        <v>6</v>
      </c>
      <c r="AE12" s="538"/>
      <c r="AF12" s="538">
        <v>135</v>
      </c>
      <c r="AG12" s="538">
        <v>3</v>
      </c>
      <c r="AH12" s="538"/>
      <c r="AI12" s="538">
        <v>157</v>
      </c>
      <c r="AJ12" s="538">
        <v>8</v>
      </c>
      <c r="AK12" s="538"/>
      <c r="AL12" s="538">
        <v>155</v>
      </c>
      <c r="AM12" s="538">
        <v>5</v>
      </c>
      <c r="AN12" s="538"/>
      <c r="AO12" s="538">
        <v>130</v>
      </c>
      <c r="AP12" s="538">
        <v>8</v>
      </c>
      <c r="AQ12" s="343"/>
      <c r="AR12" s="534" t="s">
        <v>1079</v>
      </c>
      <c r="AS12" s="538">
        <v>122</v>
      </c>
      <c r="AT12" s="538">
        <v>2</v>
      </c>
      <c r="AU12" s="538"/>
      <c r="AV12" s="538">
        <v>130</v>
      </c>
      <c r="AW12" s="538">
        <v>6</v>
      </c>
      <c r="AX12" s="538"/>
      <c r="AY12" s="538">
        <v>114</v>
      </c>
      <c r="AZ12" s="538">
        <v>3</v>
      </c>
      <c r="BA12" s="538"/>
      <c r="BB12" s="538">
        <v>105</v>
      </c>
      <c r="BC12" s="538">
        <v>4</v>
      </c>
      <c r="BD12" s="538"/>
      <c r="BE12" s="538">
        <v>108</v>
      </c>
      <c r="BF12" s="538">
        <v>0</v>
      </c>
      <c r="BH12" s="538">
        <v>124</v>
      </c>
      <c r="BI12" s="538">
        <v>2</v>
      </c>
      <c r="BK12" s="538">
        <v>129</v>
      </c>
      <c r="BL12" s="538">
        <v>2</v>
      </c>
    </row>
    <row r="13" spans="1:64" s="350" customFormat="1" ht="12">
      <c r="A13" s="363" t="s">
        <v>1050</v>
      </c>
      <c r="B13" s="364"/>
      <c r="C13" s="364"/>
      <c r="D13" s="365"/>
      <c r="E13" s="364"/>
      <c r="F13" s="364"/>
      <c r="G13" s="365"/>
      <c r="H13" s="364"/>
      <c r="I13" s="364"/>
      <c r="J13" s="365"/>
      <c r="K13" s="364"/>
      <c r="L13" s="364"/>
      <c r="M13" s="365"/>
      <c r="N13" s="366" t="s">
        <v>335</v>
      </c>
      <c r="O13" s="366" t="s">
        <v>335</v>
      </c>
      <c r="Q13" s="366" t="s">
        <v>335</v>
      </c>
      <c r="R13" s="366" t="s">
        <v>335</v>
      </c>
      <c r="T13" s="366" t="s">
        <v>335</v>
      </c>
      <c r="U13" s="366" t="s">
        <v>335</v>
      </c>
      <c r="W13" s="366" t="s">
        <v>335</v>
      </c>
      <c r="X13" s="366" t="s">
        <v>335</v>
      </c>
      <c r="Y13" s="343"/>
      <c r="Z13" s="366" t="s">
        <v>335</v>
      </c>
      <c r="AA13" s="366" t="s">
        <v>335</v>
      </c>
      <c r="AB13" s="343"/>
      <c r="AC13" s="366" t="s">
        <v>335</v>
      </c>
      <c r="AD13" s="366" t="s">
        <v>335</v>
      </c>
      <c r="AE13" s="343"/>
      <c r="AF13" s="366" t="s">
        <v>335</v>
      </c>
      <c r="AG13" s="366" t="s">
        <v>335</v>
      </c>
      <c r="AH13" s="343"/>
      <c r="AI13" s="343">
        <v>13</v>
      </c>
      <c r="AJ13" s="343">
        <v>0</v>
      </c>
      <c r="AK13" s="343"/>
      <c r="AL13" s="343">
        <v>27</v>
      </c>
      <c r="AM13" s="343">
        <v>0</v>
      </c>
      <c r="AN13" s="343"/>
      <c r="AO13" s="343">
        <v>22</v>
      </c>
      <c r="AP13" s="343">
        <v>0</v>
      </c>
      <c r="AQ13" s="343"/>
      <c r="AR13" s="363" t="s">
        <v>1050</v>
      </c>
      <c r="AS13" s="343">
        <v>22</v>
      </c>
      <c r="AT13" s="367">
        <v>0</v>
      </c>
      <c r="AU13" s="343"/>
      <c r="AV13" s="341">
        <v>18</v>
      </c>
      <c r="AW13" s="368">
        <v>0</v>
      </c>
      <c r="AX13" s="368"/>
      <c r="AY13" s="343">
        <v>32</v>
      </c>
      <c r="AZ13" s="343">
        <v>0</v>
      </c>
      <c r="BA13" s="343"/>
      <c r="BB13" s="343">
        <v>23</v>
      </c>
      <c r="BC13" s="343">
        <v>0</v>
      </c>
      <c r="BD13" s="343"/>
      <c r="BE13" s="343">
        <v>22</v>
      </c>
      <c r="BF13" s="343">
        <v>0</v>
      </c>
      <c r="BH13" s="343">
        <v>25</v>
      </c>
      <c r="BI13" s="343">
        <v>0</v>
      </c>
      <c r="BK13" s="343">
        <v>20</v>
      </c>
      <c r="BL13" s="343">
        <v>0</v>
      </c>
    </row>
    <row r="14" spans="1:64" s="350" customFormat="1" ht="12">
      <c r="A14" s="534" t="s">
        <v>1037</v>
      </c>
      <c r="B14" s="535">
        <v>190</v>
      </c>
      <c r="C14" s="535">
        <v>21</v>
      </c>
      <c r="D14" s="536"/>
      <c r="E14" s="535">
        <v>199</v>
      </c>
      <c r="F14" s="535">
        <v>24</v>
      </c>
      <c r="G14" s="536"/>
      <c r="H14" s="535">
        <v>169</v>
      </c>
      <c r="I14" s="535">
        <v>27</v>
      </c>
      <c r="J14" s="536"/>
      <c r="K14" s="535">
        <v>183</v>
      </c>
      <c r="L14" s="535">
        <v>15</v>
      </c>
      <c r="M14" s="536"/>
      <c r="N14" s="535">
        <v>141</v>
      </c>
      <c r="O14" s="535">
        <v>14</v>
      </c>
      <c r="P14" s="537"/>
      <c r="Q14" s="535">
        <v>103</v>
      </c>
      <c r="R14" s="535">
        <v>8</v>
      </c>
      <c r="S14" s="537"/>
      <c r="T14" s="538">
        <v>74</v>
      </c>
      <c r="U14" s="538">
        <v>9</v>
      </c>
      <c r="V14" s="537"/>
      <c r="W14" s="538">
        <v>38</v>
      </c>
      <c r="X14" s="538">
        <v>11</v>
      </c>
      <c r="Y14" s="538"/>
      <c r="Z14" s="538">
        <v>188</v>
      </c>
      <c r="AA14" s="538">
        <v>5</v>
      </c>
      <c r="AB14" s="538"/>
      <c r="AC14" s="538">
        <v>265</v>
      </c>
      <c r="AD14" s="538">
        <v>8</v>
      </c>
      <c r="AE14" s="538"/>
      <c r="AF14" s="538">
        <v>277</v>
      </c>
      <c r="AG14" s="538">
        <v>4</v>
      </c>
      <c r="AH14" s="538"/>
      <c r="AI14" s="538">
        <v>238</v>
      </c>
      <c r="AJ14" s="538">
        <v>3</v>
      </c>
      <c r="AK14" s="538"/>
      <c r="AL14" s="538">
        <v>309</v>
      </c>
      <c r="AM14" s="538">
        <v>8</v>
      </c>
      <c r="AN14" s="538"/>
      <c r="AO14" s="538">
        <v>241</v>
      </c>
      <c r="AP14" s="538">
        <v>8</v>
      </c>
      <c r="AQ14" s="343"/>
      <c r="AR14" s="534" t="s">
        <v>1037</v>
      </c>
      <c r="AS14" s="538">
        <v>235</v>
      </c>
      <c r="AT14" s="538">
        <v>1</v>
      </c>
      <c r="AU14" s="538"/>
      <c r="AV14" s="538">
        <v>279</v>
      </c>
      <c r="AW14" s="538">
        <v>8</v>
      </c>
      <c r="AX14" s="538"/>
      <c r="AY14" s="538">
        <v>272</v>
      </c>
      <c r="AZ14" s="538">
        <v>2</v>
      </c>
      <c r="BA14" s="538"/>
      <c r="BB14" s="538">
        <v>256</v>
      </c>
      <c r="BC14" s="538">
        <v>2</v>
      </c>
      <c r="BD14" s="538"/>
      <c r="BE14" s="538">
        <v>340</v>
      </c>
      <c r="BF14" s="538">
        <v>3</v>
      </c>
      <c r="BH14" s="538">
        <v>259</v>
      </c>
      <c r="BI14" s="538">
        <v>2</v>
      </c>
      <c r="BK14" s="538">
        <v>274</v>
      </c>
      <c r="BL14" s="538">
        <v>1</v>
      </c>
    </row>
    <row r="15" spans="1:64" s="350" customFormat="1" ht="12">
      <c r="A15" s="363" t="s">
        <v>1071</v>
      </c>
      <c r="B15" s="364">
        <v>66</v>
      </c>
      <c r="C15" s="364">
        <v>16</v>
      </c>
      <c r="D15" s="365"/>
      <c r="E15" s="364">
        <v>49</v>
      </c>
      <c r="F15" s="364">
        <v>11</v>
      </c>
      <c r="G15" s="365"/>
      <c r="H15" s="364">
        <v>63</v>
      </c>
      <c r="I15" s="364">
        <v>19</v>
      </c>
      <c r="J15" s="365"/>
      <c r="K15" s="364">
        <v>45</v>
      </c>
      <c r="L15" s="364">
        <v>25</v>
      </c>
      <c r="M15" s="365"/>
      <c r="N15" s="364">
        <v>41</v>
      </c>
      <c r="O15" s="364">
        <v>22</v>
      </c>
      <c r="Q15" s="364">
        <v>57</v>
      </c>
      <c r="R15" s="364">
        <v>21</v>
      </c>
      <c r="T15" s="343">
        <v>33</v>
      </c>
      <c r="U15" s="343">
        <v>10</v>
      </c>
      <c r="W15" s="343">
        <v>16</v>
      </c>
      <c r="X15" s="343">
        <v>8</v>
      </c>
      <c r="Y15" s="343"/>
      <c r="Z15" s="343">
        <v>76</v>
      </c>
      <c r="AA15" s="343">
        <v>14</v>
      </c>
      <c r="AB15" s="343"/>
      <c r="AC15" s="343">
        <v>83</v>
      </c>
      <c r="AD15" s="343">
        <v>25</v>
      </c>
      <c r="AE15" s="343"/>
      <c r="AF15" s="343">
        <v>73</v>
      </c>
      <c r="AG15" s="343">
        <v>10</v>
      </c>
      <c r="AH15" s="343"/>
      <c r="AI15" s="343">
        <v>73</v>
      </c>
      <c r="AJ15" s="343">
        <v>7</v>
      </c>
      <c r="AK15" s="343"/>
      <c r="AL15" s="343">
        <v>66</v>
      </c>
      <c r="AM15" s="343">
        <v>18</v>
      </c>
      <c r="AN15" s="343"/>
      <c r="AO15" s="343">
        <v>88</v>
      </c>
      <c r="AP15" s="343">
        <v>4</v>
      </c>
      <c r="AQ15" s="343"/>
      <c r="AR15" s="363" t="s">
        <v>1071</v>
      </c>
      <c r="AS15" s="343">
        <v>93</v>
      </c>
      <c r="AT15" s="343">
        <v>10</v>
      </c>
      <c r="AU15" s="343"/>
      <c r="AV15" s="341">
        <v>47</v>
      </c>
      <c r="AW15" s="341">
        <v>0</v>
      </c>
      <c r="AX15" s="341"/>
      <c r="AY15" s="343">
        <v>62</v>
      </c>
      <c r="AZ15" s="343">
        <v>1</v>
      </c>
      <c r="BA15" s="343"/>
      <c r="BB15" s="343">
        <v>61</v>
      </c>
      <c r="BC15" s="343">
        <v>3</v>
      </c>
      <c r="BD15" s="343"/>
      <c r="BE15" s="343">
        <v>79</v>
      </c>
      <c r="BF15" s="343">
        <v>2</v>
      </c>
      <c r="BH15" s="343">
        <v>58</v>
      </c>
      <c r="BI15" s="343">
        <v>1</v>
      </c>
      <c r="BK15" s="343">
        <v>96</v>
      </c>
      <c r="BL15" s="343">
        <v>8</v>
      </c>
    </row>
    <row r="16" spans="1:64" ht="12">
      <c r="A16" s="534" t="s">
        <v>1072</v>
      </c>
      <c r="B16" s="539">
        <v>48</v>
      </c>
      <c r="C16" s="539">
        <v>4</v>
      </c>
      <c r="D16" s="540"/>
      <c r="E16" s="539">
        <v>63</v>
      </c>
      <c r="F16" s="539">
        <v>5</v>
      </c>
      <c r="G16" s="540"/>
      <c r="H16" s="539">
        <v>50</v>
      </c>
      <c r="I16" s="539">
        <v>6</v>
      </c>
      <c r="J16" s="540"/>
      <c r="K16" s="539">
        <v>40</v>
      </c>
      <c r="L16" s="539">
        <v>3</v>
      </c>
      <c r="M16" s="540"/>
      <c r="N16" s="539">
        <v>7</v>
      </c>
      <c r="O16" s="539">
        <v>5</v>
      </c>
      <c r="P16" s="541"/>
      <c r="Q16" s="539">
        <v>31</v>
      </c>
      <c r="R16" s="539">
        <v>4</v>
      </c>
      <c r="S16" s="541"/>
      <c r="T16" s="541">
        <v>30</v>
      </c>
      <c r="U16" s="541">
        <v>1</v>
      </c>
      <c r="V16" s="541"/>
      <c r="W16" s="541">
        <v>12</v>
      </c>
      <c r="X16" s="541">
        <v>5</v>
      </c>
      <c r="Y16" s="541"/>
      <c r="Z16" s="541">
        <v>86</v>
      </c>
      <c r="AA16" s="541">
        <v>6</v>
      </c>
      <c r="AB16" s="541"/>
      <c r="AC16" s="541">
        <v>71</v>
      </c>
      <c r="AD16" s="541">
        <v>4</v>
      </c>
      <c r="AE16" s="541"/>
      <c r="AF16" s="541">
        <v>72</v>
      </c>
      <c r="AG16" s="541">
        <v>4</v>
      </c>
      <c r="AH16" s="541"/>
      <c r="AI16" s="541">
        <v>63</v>
      </c>
      <c r="AJ16" s="541">
        <v>1</v>
      </c>
      <c r="AK16" s="541"/>
      <c r="AL16" s="541">
        <v>53</v>
      </c>
      <c r="AM16" s="541">
        <v>2</v>
      </c>
      <c r="AN16" s="541"/>
      <c r="AO16" s="541">
        <v>48</v>
      </c>
      <c r="AP16" s="541">
        <v>0</v>
      </c>
      <c r="AR16" s="534" t="s">
        <v>1072</v>
      </c>
      <c r="AS16" s="541">
        <v>48</v>
      </c>
      <c r="AT16" s="545">
        <v>0</v>
      </c>
      <c r="AU16" s="541"/>
      <c r="AV16" s="541">
        <v>52</v>
      </c>
      <c r="AW16" s="545">
        <v>2</v>
      </c>
      <c r="AX16" s="545"/>
      <c r="AY16" s="541">
        <v>56</v>
      </c>
      <c r="AZ16" s="541">
        <v>0</v>
      </c>
      <c r="BA16" s="541"/>
      <c r="BB16" s="541">
        <v>41</v>
      </c>
      <c r="BC16" s="541">
        <v>1</v>
      </c>
      <c r="BD16" s="541"/>
      <c r="BE16" s="541">
        <v>47</v>
      </c>
      <c r="BF16" s="541">
        <v>5</v>
      </c>
      <c r="BH16" s="541">
        <v>52</v>
      </c>
      <c r="BI16" s="541">
        <v>2</v>
      </c>
      <c r="BK16" s="541">
        <v>50</v>
      </c>
      <c r="BL16" s="541">
        <v>1</v>
      </c>
    </row>
    <row r="17" spans="1:64" s="350" customFormat="1" ht="12">
      <c r="A17" s="371" t="s">
        <v>932</v>
      </c>
      <c r="B17" s="364">
        <v>12</v>
      </c>
      <c r="C17" s="364">
        <v>1</v>
      </c>
      <c r="D17" s="365"/>
      <c r="E17" s="364">
        <v>6</v>
      </c>
      <c r="F17" s="364">
        <v>0</v>
      </c>
      <c r="G17" s="365"/>
      <c r="H17" s="364">
        <v>18</v>
      </c>
      <c r="I17" s="364">
        <v>0</v>
      </c>
      <c r="J17" s="365"/>
      <c r="K17" s="364">
        <v>6</v>
      </c>
      <c r="L17" s="364">
        <v>0</v>
      </c>
      <c r="M17" s="365"/>
      <c r="N17" s="364">
        <v>6</v>
      </c>
      <c r="O17" s="364">
        <v>0</v>
      </c>
      <c r="Q17" s="364">
        <v>6</v>
      </c>
      <c r="R17" s="364">
        <v>0</v>
      </c>
      <c r="T17" s="343">
        <v>8</v>
      </c>
      <c r="U17" s="343">
        <v>0</v>
      </c>
      <c r="W17" s="343">
        <v>4</v>
      </c>
      <c r="X17" s="343">
        <v>0</v>
      </c>
      <c r="Y17" s="343"/>
      <c r="Z17" s="343">
        <v>11</v>
      </c>
      <c r="AA17" s="343">
        <v>0</v>
      </c>
      <c r="AB17" s="343"/>
      <c r="AC17" s="343">
        <v>8</v>
      </c>
      <c r="AD17" s="343">
        <v>1</v>
      </c>
      <c r="AE17" s="343"/>
      <c r="AF17" s="343">
        <v>12</v>
      </c>
      <c r="AG17" s="343">
        <v>1</v>
      </c>
      <c r="AH17" s="343"/>
      <c r="AI17" s="343">
        <v>5</v>
      </c>
      <c r="AJ17" s="343">
        <v>0</v>
      </c>
      <c r="AK17" s="343"/>
      <c r="AL17" s="343">
        <v>9</v>
      </c>
      <c r="AM17" s="343">
        <v>0</v>
      </c>
      <c r="AN17" s="343"/>
      <c r="AO17" s="343">
        <v>7</v>
      </c>
      <c r="AP17" s="343">
        <v>0</v>
      </c>
      <c r="AQ17" s="343"/>
      <c r="AR17" s="371" t="s">
        <v>932</v>
      </c>
      <c r="AS17" s="343">
        <v>9</v>
      </c>
      <c r="AT17" s="367">
        <v>0</v>
      </c>
      <c r="AU17" s="343"/>
      <c r="AV17" s="341">
        <v>12</v>
      </c>
      <c r="AW17" s="368">
        <v>0</v>
      </c>
      <c r="AX17" s="368"/>
      <c r="AY17" s="343">
        <v>5</v>
      </c>
      <c r="AZ17" s="343">
        <v>0</v>
      </c>
      <c r="BA17" s="343"/>
      <c r="BB17" s="343">
        <v>4</v>
      </c>
      <c r="BC17" s="343">
        <v>0</v>
      </c>
      <c r="BD17" s="343"/>
      <c r="BE17" s="343">
        <v>7</v>
      </c>
      <c r="BF17" s="343">
        <v>1</v>
      </c>
      <c r="BH17" s="343">
        <v>9</v>
      </c>
      <c r="BI17" s="343">
        <v>0</v>
      </c>
      <c r="BK17" s="343">
        <v>15</v>
      </c>
      <c r="BL17" s="343">
        <v>0</v>
      </c>
    </row>
    <row r="18" spans="1:64" s="350" customFormat="1" ht="12">
      <c r="A18" s="534" t="s">
        <v>1040</v>
      </c>
      <c r="B18" s="535">
        <v>415</v>
      </c>
      <c r="C18" s="535">
        <v>29</v>
      </c>
      <c r="D18" s="536"/>
      <c r="E18" s="535">
        <v>431</v>
      </c>
      <c r="F18" s="535">
        <v>37</v>
      </c>
      <c r="G18" s="536"/>
      <c r="H18" s="535">
        <v>406</v>
      </c>
      <c r="I18" s="535">
        <v>25</v>
      </c>
      <c r="J18" s="536"/>
      <c r="K18" s="535">
        <v>257</v>
      </c>
      <c r="L18" s="535">
        <v>34</v>
      </c>
      <c r="M18" s="536"/>
      <c r="N18" s="535">
        <v>170</v>
      </c>
      <c r="O18" s="535">
        <v>25</v>
      </c>
      <c r="P18" s="537"/>
      <c r="Q18" s="535">
        <v>145</v>
      </c>
      <c r="R18" s="535">
        <v>18</v>
      </c>
      <c r="S18" s="537"/>
      <c r="T18" s="538">
        <v>140</v>
      </c>
      <c r="U18" s="538">
        <v>14</v>
      </c>
      <c r="V18" s="537"/>
      <c r="W18" s="538">
        <v>76</v>
      </c>
      <c r="X18" s="538">
        <v>24</v>
      </c>
      <c r="Y18" s="538"/>
      <c r="Z18" s="538">
        <v>424</v>
      </c>
      <c r="AA18" s="538">
        <v>17</v>
      </c>
      <c r="AB18" s="538"/>
      <c r="AC18" s="538">
        <v>376</v>
      </c>
      <c r="AD18" s="538">
        <v>15</v>
      </c>
      <c r="AE18" s="538"/>
      <c r="AF18" s="538">
        <v>316</v>
      </c>
      <c r="AG18" s="538">
        <v>7</v>
      </c>
      <c r="AH18" s="538"/>
      <c r="AI18" s="538">
        <v>321</v>
      </c>
      <c r="AJ18" s="538">
        <v>12</v>
      </c>
      <c r="AK18" s="538"/>
      <c r="AL18" s="538">
        <v>289</v>
      </c>
      <c r="AM18" s="538">
        <v>9</v>
      </c>
      <c r="AN18" s="538"/>
      <c r="AO18" s="538">
        <v>323</v>
      </c>
      <c r="AP18" s="538">
        <v>7</v>
      </c>
      <c r="AQ18" s="343"/>
      <c r="AR18" s="534" t="s">
        <v>1040</v>
      </c>
      <c r="AS18" s="538">
        <v>369</v>
      </c>
      <c r="AT18" s="538">
        <v>6</v>
      </c>
      <c r="AU18" s="538"/>
      <c r="AV18" s="538">
        <v>293</v>
      </c>
      <c r="AW18" s="538">
        <v>4</v>
      </c>
      <c r="AX18" s="538"/>
      <c r="AY18" s="538">
        <v>322</v>
      </c>
      <c r="AZ18" s="538">
        <v>7</v>
      </c>
      <c r="BA18" s="538"/>
      <c r="BB18" s="538">
        <v>335</v>
      </c>
      <c r="BC18" s="538">
        <v>9</v>
      </c>
      <c r="BD18" s="538"/>
      <c r="BE18" s="538">
        <v>394</v>
      </c>
      <c r="BF18" s="538">
        <v>6</v>
      </c>
      <c r="BH18" s="538">
        <v>369</v>
      </c>
      <c r="BI18" s="538">
        <v>9</v>
      </c>
      <c r="BK18" s="538">
        <v>385</v>
      </c>
      <c r="BL18" s="538">
        <v>8</v>
      </c>
    </row>
    <row r="19" spans="1:64" s="350" customFormat="1" ht="12">
      <c r="A19" s="363" t="s">
        <v>1089</v>
      </c>
      <c r="B19" s="364"/>
      <c r="C19" s="364"/>
      <c r="D19" s="365"/>
      <c r="E19" s="364"/>
      <c r="F19" s="364"/>
      <c r="G19" s="365"/>
      <c r="H19" s="364"/>
      <c r="I19" s="364"/>
      <c r="J19" s="365"/>
      <c r="K19" s="364"/>
      <c r="L19" s="364"/>
      <c r="M19" s="365"/>
      <c r="N19" s="366" t="s">
        <v>335</v>
      </c>
      <c r="O19" s="366" t="s">
        <v>335</v>
      </c>
      <c r="Q19" s="366" t="s">
        <v>335</v>
      </c>
      <c r="R19" s="366" t="s">
        <v>335</v>
      </c>
      <c r="T19" s="366" t="s">
        <v>335</v>
      </c>
      <c r="U19" s="366" t="s">
        <v>335</v>
      </c>
      <c r="W19" s="366" t="s">
        <v>335</v>
      </c>
      <c r="X19" s="366" t="s">
        <v>335</v>
      </c>
      <c r="Y19" s="343"/>
      <c r="Z19" s="366" t="s">
        <v>335</v>
      </c>
      <c r="AA19" s="366" t="s">
        <v>335</v>
      </c>
      <c r="AB19" s="343"/>
      <c r="AC19" s="366" t="s">
        <v>335</v>
      </c>
      <c r="AD19" s="366" t="s">
        <v>335</v>
      </c>
      <c r="AE19" s="343"/>
      <c r="AF19" s="366" t="s">
        <v>335</v>
      </c>
      <c r="AG19" s="366" t="s">
        <v>335</v>
      </c>
      <c r="AH19" s="343"/>
      <c r="AI19" s="343">
        <v>14</v>
      </c>
      <c r="AJ19" s="343">
        <v>3</v>
      </c>
      <c r="AK19" s="343"/>
      <c r="AL19" s="366">
        <v>11</v>
      </c>
      <c r="AM19" s="366">
        <v>0</v>
      </c>
      <c r="AN19" s="343"/>
      <c r="AO19" s="343">
        <v>19</v>
      </c>
      <c r="AP19" s="343">
        <v>2</v>
      </c>
      <c r="AQ19" s="343"/>
      <c r="AR19" s="363" t="s">
        <v>1089</v>
      </c>
      <c r="AS19" s="343">
        <v>10</v>
      </c>
      <c r="AT19" s="367">
        <v>0</v>
      </c>
      <c r="AU19" s="343"/>
      <c r="AV19" s="341">
        <v>10</v>
      </c>
      <c r="AW19" s="368">
        <v>0</v>
      </c>
      <c r="AX19" s="368"/>
      <c r="AY19" s="343">
        <v>11</v>
      </c>
      <c r="AZ19" s="343">
        <v>0</v>
      </c>
      <c r="BA19" s="343"/>
      <c r="BB19" s="343">
        <v>15</v>
      </c>
      <c r="BC19" s="343">
        <v>0</v>
      </c>
      <c r="BD19" s="343"/>
      <c r="BE19" s="343">
        <v>14</v>
      </c>
      <c r="BF19" s="343">
        <v>1</v>
      </c>
      <c r="BH19" s="343">
        <v>7</v>
      </c>
      <c r="BI19" s="343">
        <v>0</v>
      </c>
      <c r="BK19" s="343">
        <v>13</v>
      </c>
      <c r="BL19" s="343">
        <v>0</v>
      </c>
    </row>
    <row r="20" spans="1:64" s="350" customFormat="1" ht="12">
      <c r="A20" s="534" t="s">
        <v>1091</v>
      </c>
      <c r="B20" s="535"/>
      <c r="C20" s="535"/>
      <c r="D20" s="536"/>
      <c r="E20" s="535"/>
      <c r="F20" s="535"/>
      <c r="G20" s="536"/>
      <c r="H20" s="535"/>
      <c r="I20" s="535"/>
      <c r="J20" s="536"/>
      <c r="K20" s="535"/>
      <c r="L20" s="535"/>
      <c r="M20" s="536"/>
      <c r="N20" s="542" t="s">
        <v>335</v>
      </c>
      <c r="O20" s="542" t="s">
        <v>335</v>
      </c>
      <c r="P20" s="537"/>
      <c r="Q20" s="542" t="s">
        <v>335</v>
      </c>
      <c r="R20" s="542" t="s">
        <v>335</v>
      </c>
      <c r="S20" s="537"/>
      <c r="T20" s="542" t="s">
        <v>335</v>
      </c>
      <c r="U20" s="542" t="s">
        <v>335</v>
      </c>
      <c r="V20" s="537"/>
      <c r="W20" s="542" t="s">
        <v>335</v>
      </c>
      <c r="X20" s="542" t="s">
        <v>335</v>
      </c>
      <c r="Y20" s="538"/>
      <c r="Z20" s="542" t="s">
        <v>335</v>
      </c>
      <c r="AA20" s="542" t="s">
        <v>335</v>
      </c>
      <c r="AB20" s="538"/>
      <c r="AC20" s="542" t="s">
        <v>335</v>
      </c>
      <c r="AD20" s="542" t="s">
        <v>335</v>
      </c>
      <c r="AE20" s="538"/>
      <c r="AF20" s="542" t="s">
        <v>335</v>
      </c>
      <c r="AG20" s="542" t="s">
        <v>335</v>
      </c>
      <c r="AH20" s="538"/>
      <c r="AI20" s="538">
        <v>10</v>
      </c>
      <c r="AJ20" s="538">
        <v>0</v>
      </c>
      <c r="AK20" s="538"/>
      <c r="AL20" s="538">
        <v>19</v>
      </c>
      <c r="AM20" s="538">
        <v>0</v>
      </c>
      <c r="AN20" s="538"/>
      <c r="AO20" s="538">
        <v>10</v>
      </c>
      <c r="AP20" s="538">
        <v>1</v>
      </c>
      <c r="AQ20" s="343"/>
      <c r="AR20" s="534" t="s">
        <v>1091</v>
      </c>
      <c r="AS20" s="538">
        <v>15</v>
      </c>
      <c r="AT20" s="546">
        <v>0</v>
      </c>
      <c r="AU20" s="538"/>
      <c r="AV20" s="538">
        <v>9</v>
      </c>
      <c r="AW20" s="546">
        <v>0</v>
      </c>
      <c r="AX20" s="546"/>
      <c r="AY20" s="538">
        <v>5</v>
      </c>
      <c r="AZ20" s="538">
        <v>0</v>
      </c>
      <c r="BA20" s="538"/>
      <c r="BB20" s="538">
        <v>14</v>
      </c>
      <c r="BC20" s="538">
        <v>0</v>
      </c>
      <c r="BD20" s="538"/>
      <c r="BE20" s="538">
        <v>12</v>
      </c>
      <c r="BF20" s="538">
        <v>0</v>
      </c>
      <c r="BH20" s="538">
        <v>17</v>
      </c>
      <c r="BI20" s="538">
        <v>0</v>
      </c>
      <c r="BK20" s="538">
        <v>11</v>
      </c>
      <c r="BL20" s="538">
        <v>0</v>
      </c>
    </row>
    <row r="21" spans="1:64" s="350" customFormat="1" ht="12">
      <c r="A21" s="363" t="s">
        <v>336</v>
      </c>
      <c r="B21" s="364"/>
      <c r="C21" s="364"/>
      <c r="D21" s="365"/>
      <c r="E21" s="364"/>
      <c r="F21" s="364"/>
      <c r="G21" s="365"/>
      <c r="H21" s="364"/>
      <c r="I21" s="364"/>
      <c r="J21" s="365"/>
      <c r="K21" s="364"/>
      <c r="L21" s="364"/>
      <c r="M21" s="365"/>
      <c r="N21" s="366" t="s">
        <v>335</v>
      </c>
      <c r="O21" s="366" t="s">
        <v>335</v>
      </c>
      <c r="Q21" s="366" t="s">
        <v>335</v>
      </c>
      <c r="R21" s="366" t="s">
        <v>335</v>
      </c>
      <c r="T21" s="366" t="s">
        <v>335</v>
      </c>
      <c r="U21" s="366" t="s">
        <v>335</v>
      </c>
      <c r="W21" s="366" t="s">
        <v>335</v>
      </c>
      <c r="X21" s="366" t="s">
        <v>335</v>
      </c>
      <c r="Y21" s="343"/>
      <c r="Z21" s="366" t="s">
        <v>335</v>
      </c>
      <c r="AA21" s="366" t="s">
        <v>335</v>
      </c>
      <c r="AB21" s="343"/>
      <c r="AC21" s="366" t="s">
        <v>335</v>
      </c>
      <c r="AD21" s="366" t="s">
        <v>335</v>
      </c>
      <c r="AE21" s="343"/>
      <c r="AF21" s="366" t="s">
        <v>335</v>
      </c>
      <c r="AG21" s="366" t="s">
        <v>335</v>
      </c>
      <c r="AH21" s="343"/>
      <c r="AI21" s="366" t="s">
        <v>335</v>
      </c>
      <c r="AJ21" s="366" t="s">
        <v>335</v>
      </c>
      <c r="AK21" s="343"/>
      <c r="AL21" s="366">
        <v>3</v>
      </c>
      <c r="AM21" s="366">
        <v>0</v>
      </c>
      <c r="AN21" s="343"/>
      <c r="AO21" s="366" t="s">
        <v>335</v>
      </c>
      <c r="AP21" s="366" t="s">
        <v>335</v>
      </c>
      <c r="AQ21" s="343"/>
      <c r="AR21" s="363" t="s">
        <v>336</v>
      </c>
      <c r="AS21" s="366">
        <v>1</v>
      </c>
      <c r="AT21" s="366">
        <v>0</v>
      </c>
      <c r="AU21" s="343"/>
      <c r="AV21" s="372">
        <v>1</v>
      </c>
      <c r="AW21" s="372">
        <v>0</v>
      </c>
      <c r="AX21" s="372"/>
      <c r="AY21" s="343">
        <v>1</v>
      </c>
      <c r="AZ21" s="343">
        <v>0</v>
      </c>
      <c r="BA21" s="343"/>
      <c r="BB21" s="343">
        <v>2</v>
      </c>
      <c r="BC21" s="343">
        <v>0</v>
      </c>
      <c r="BD21" s="343"/>
      <c r="BE21" s="343">
        <v>0</v>
      </c>
      <c r="BF21" s="343">
        <v>0</v>
      </c>
      <c r="BH21" s="343">
        <v>1</v>
      </c>
      <c r="BI21" s="343">
        <v>0</v>
      </c>
      <c r="BK21" s="343">
        <v>1</v>
      </c>
      <c r="BL21" s="343">
        <v>0</v>
      </c>
    </row>
    <row r="22" spans="1:64" s="350" customFormat="1" ht="12">
      <c r="A22" s="534" t="s">
        <v>337</v>
      </c>
      <c r="B22" s="535"/>
      <c r="C22" s="535"/>
      <c r="D22" s="536"/>
      <c r="E22" s="535"/>
      <c r="F22" s="535"/>
      <c r="G22" s="536"/>
      <c r="H22" s="535"/>
      <c r="I22" s="535"/>
      <c r="J22" s="536"/>
      <c r="K22" s="535"/>
      <c r="L22" s="535"/>
      <c r="M22" s="536"/>
      <c r="N22" s="542" t="s">
        <v>335</v>
      </c>
      <c r="O22" s="542" t="s">
        <v>335</v>
      </c>
      <c r="P22" s="537"/>
      <c r="Q22" s="542" t="s">
        <v>335</v>
      </c>
      <c r="R22" s="542" t="s">
        <v>335</v>
      </c>
      <c r="S22" s="537"/>
      <c r="T22" s="542" t="s">
        <v>335</v>
      </c>
      <c r="U22" s="542" t="s">
        <v>335</v>
      </c>
      <c r="V22" s="537"/>
      <c r="W22" s="542" t="s">
        <v>335</v>
      </c>
      <c r="X22" s="542" t="s">
        <v>335</v>
      </c>
      <c r="Y22" s="538"/>
      <c r="Z22" s="542" t="s">
        <v>335</v>
      </c>
      <c r="AA22" s="542" t="s">
        <v>335</v>
      </c>
      <c r="AB22" s="538"/>
      <c r="AC22" s="542" t="s">
        <v>335</v>
      </c>
      <c r="AD22" s="542" t="s">
        <v>335</v>
      </c>
      <c r="AE22" s="538"/>
      <c r="AF22" s="542" t="s">
        <v>335</v>
      </c>
      <c r="AG22" s="542" t="s">
        <v>335</v>
      </c>
      <c r="AH22" s="538"/>
      <c r="AI22" s="538">
        <v>5</v>
      </c>
      <c r="AJ22" s="538">
        <v>1</v>
      </c>
      <c r="AK22" s="538"/>
      <c r="AL22" s="538">
        <v>2</v>
      </c>
      <c r="AM22" s="538">
        <v>0</v>
      </c>
      <c r="AN22" s="538"/>
      <c r="AO22" s="538">
        <v>4</v>
      </c>
      <c r="AP22" s="538">
        <v>0</v>
      </c>
      <c r="AQ22" s="343"/>
      <c r="AR22" s="534" t="s">
        <v>337</v>
      </c>
      <c r="AS22" s="538">
        <v>3</v>
      </c>
      <c r="AT22" s="546">
        <v>0</v>
      </c>
      <c r="AU22" s="538"/>
      <c r="AV22" s="538">
        <v>7</v>
      </c>
      <c r="AW22" s="546">
        <v>1</v>
      </c>
      <c r="AX22" s="546"/>
      <c r="AY22" s="538">
        <v>2</v>
      </c>
      <c r="AZ22" s="538">
        <v>0</v>
      </c>
      <c r="BA22" s="538"/>
      <c r="BB22" s="538">
        <v>4</v>
      </c>
      <c r="BC22" s="538">
        <v>0</v>
      </c>
      <c r="BD22" s="538"/>
      <c r="BE22" s="538">
        <v>5</v>
      </c>
      <c r="BF22" s="538">
        <v>0</v>
      </c>
      <c r="BH22" s="538">
        <v>5</v>
      </c>
      <c r="BI22" s="538">
        <v>0</v>
      </c>
      <c r="BK22" s="538">
        <v>5</v>
      </c>
      <c r="BL22" s="538">
        <v>0</v>
      </c>
    </row>
    <row r="23" spans="1:64" s="350" customFormat="1" ht="12">
      <c r="A23" s="363" t="s">
        <v>338</v>
      </c>
      <c r="B23" s="364"/>
      <c r="C23" s="364"/>
      <c r="D23" s="365"/>
      <c r="E23" s="364"/>
      <c r="F23" s="364"/>
      <c r="G23" s="365"/>
      <c r="H23" s="364"/>
      <c r="I23" s="364"/>
      <c r="J23" s="365"/>
      <c r="K23" s="364"/>
      <c r="L23" s="364"/>
      <c r="M23" s="365"/>
      <c r="N23" s="366" t="s">
        <v>335</v>
      </c>
      <c r="O23" s="366" t="s">
        <v>335</v>
      </c>
      <c r="Q23" s="366" t="s">
        <v>335</v>
      </c>
      <c r="R23" s="366" t="s">
        <v>335</v>
      </c>
      <c r="T23" s="366" t="s">
        <v>335</v>
      </c>
      <c r="U23" s="366" t="s">
        <v>335</v>
      </c>
      <c r="W23" s="366" t="s">
        <v>335</v>
      </c>
      <c r="X23" s="366" t="s">
        <v>335</v>
      </c>
      <c r="Y23" s="343"/>
      <c r="Z23" s="366" t="s">
        <v>335</v>
      </c>
      <c r="AA23" s="366" t="s">
        <v>335</v>
      </c>
      <c r="AB23" s="343"/>
      <c r="AC23" s="366" t="s">
        <v>335</v>
      </c>
      <c r="AD23" s="366" t="s">
        <v>335</v>
      </c>
      <c r="AE23" s="343"/>
      <c r="AF23" s="366" t="s">
        <v>335</v>
      </c>
      <c r="AG23" s="366" t="s">
        <v>335</v>
      </c>
      <c r="AH23" s="343"/>
      <c r="AI23" s="366" t="s">
        <v>335</v>
      </c>
      <c r="AJ23" s="366" t="s">
        <v>335</v>
      </c>
      <c r="AK23" s="343"/>
      <c r="AL23" s="366" t="s">
        <v>335</v>
      </c>
      <c r="AM23" s="366" t="s">
        <v>335</v>
      </c>
      <c r="AN23" s="343"/>
      <c r="AO23" s="366">
        <v>1</v>
      </c>
      <c r="AP23" s="366">
        <v>0</v>
      </c>
      <c r="AQ23" s="343"/>
      <c r="AR23" s="363" t="s">
        <v>338</v>
      </c>
      <c r="AS23" s="366">
        <v>0</v>
      </c>
      <c r="AT23" s="366">
        <v>0</v>
      </c>
      <c r="AU23" s="343"/>
      <c r="AV23" s="372">
        <v>0</v>
      </c>
      <c r="AW23" s="372">
        <v>0</v>
      </c>
      <c r="AX23" s="372"/>
      <c r="AY23" s="343">
        <v>0</v>
      </c>
      <c r="AZ23" s="343">
        <v>0</v>
      </c>
      <c r="BA23" s="343"/>
      <c r="BB23" s="343">
        <v>0</v>
      </c>
      <c r="BC23" s="343">
        <v>0</v>
      </c>
      <c r="BD23" s="343"/>
      <c r="BE23" s="343">
        <v>1</v>
      </c>
      <c r="BF23" s="343">
        <v>0</v>
      </c>
      <c r="BH23" s="343">
        <v>0</v>
      </c>
      <c r="BI23" s="343">
        <v>0</v>
      </c>
      <c r="BK23" s="343">
        <v>1</v>
      </c>
      <c r="BL23" s="343">
        <v>0</v>
      </c>
    </row>
    <row r="24" spans="1:64" ht="12">
      <c r="A24" s="543" t="s">
        <v>377</v>
      </c>
      <c r="B24" s="540">
        <v>190</v>
      </c>
      <c r="C24" s="540">
        <v>17</v>
      </c>
      <c r="D24" s="540"/>
      <c r="E24" s="540">
        <v>226</v>
      </c>
      <c r="F24" s="540">
        <v>16</v>
      </c>
      <c r="G24" s="540"/>
      <c r="H24" s="540">
        <v>205</v>
      </c>
      <c r="I24" s="540">
        <v>10</v>
      </c>
      <c r="J24" s="540"/>
      <c r="K24" s="540">
        <v>154</v>
      </c>
      <c r="L24" s="540">
        <v>17</v>
      </c>
      <c r="M24" s="540"/>
      <c r="N24" s="540">
        <v>101</v>
      </c>
      <c r="O24" s="540">
        <v>9</v>
      </c>
      <c r="P24" s="541"/>
      <c r="Q24" s="540">
        <v>90</v>
      </c>
      <c r="R24" s="540">
        <v>11</v>
      </c>
      <c r="S24" s="541"/>
      <c r="T24" s="541">
        <v>81</v>
      </c>
      <c r="U24" s="541">
        <v>13</v>
      </c>
      <c r="V24" s="541"/>
      <c r="W24" s="541">
        <v>29</v>
      </c>
      <c r="X24" s="541">
        <v>2</v>
      </c>
      <c r="Y24" s="541"/>
      <c r="Z24" s="541">
        <v>189</v>
      </c>
      <c r="AA24" s="541">
        <v>2</v>
      </c>
      <c r="AB24" s="541"/>
      <c r="AC24" s="541">
        <v>229</v>
      </c>
      <c r="AD24" s="541">
        <v>4</v>
      </c>
      <c r="AE24" s="541"/>
      <c r="AF24" s="541">
        <v>219</v>
      </c>
      <c r="AG24" s="541">
        <v>6</v>
      </c>
      <c r="AH24" s="541"/>
      <c r="AI24" s="541">
        <v>207</v>
      </c>
      <c r="AJ24" s="541">
        <v>7</v>
      </c>
      <c r="AK24" s="541"/>
      <c r="AL24" s="541">
        <v>261</v>
      </c>
      <c r="AM24" s="541">
        <v>2</v>
      </c>
      <c r="AN24" s="541"/>
      <c r="AO24" s="541">
        <v>243</v>
      </c>
      <c r="AP24" s="541">
        <v>4</v>
      </c>
      <c r="AR24" s="543" t="s">
        <v>377</v>
      </c>
      <c r="AS24" s="541">
        <v>269</v>
      </c>
      <c r="AT24" s="545">
        <v>0</v>
      </c>
      <c r="AU24" s="541"/>
      <c r="AV24" s="541">
        <v>222</v>
      </c>
      <c r="AW24" s="545">
        <v>2</v>
      </c>
      <c r="AX24" s="545"/>
      <c r="AY24" s="541">
        <v>184</v>
      </c>
      <c r="AZ24" s="541">
        <v>2</v>
      </c>
      <c r="BA24" s="541"/>
      <c r="BB24" s="541">
        <v>261</v>
      </c>
      <c r="BC24" s="541">
        <v>3</v>
      </c>
      <c r="BD24" s="541"/>
      <c r="BE24" s="541">
        <v>324</v>
      </c>
      <c r="BF24" s="541">
        <v>3</v>
      </c>
      <c r="BH24" s="541">
        <v>283</v>
      </c>
      <c r="BI24" s="541">
        <v>3</v>
      </c>
      <c r="BK24" s="541">
        <v>301</v>
      </c>
      <c r="BL24" s="541">
        <v>6</v>
      </c>
    </row>
    <row r="25" spans="1:64" ht="12">
      <c r="A25" s="373" t="s">
        <v>1092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366" t="s">
        <v>335</v>
      </c>
      <c r="O25" s="366" t="s">
        <v>335</v>
      </c>
      <c r="P25" s="350"/>
      <c r="Q25" s="366" t="s">
        <v>335</v>
      </c>
      <c r="R25" s="366" t="s">
        <v>335</v>
      </c>
      <c r="S25" s="350"/>
      <c r="T25" s="366" t="s">
        <v>335</v>
      </c>
      <c r="U25" s="366" t="s">
        <v>335</v>
      </c>
      <c r="V25" s="350"/>
      <c r="W25" s="366" t="s">
        <v>335</v>
      </c>
      <c r="X25" s="366" t="s">
        <v>335</v>
      </c>
      <c r="Y25" s="343"/>
      <c r="Z25" s="366" t="s">
        <v>335</v>
      </c>
      <c r="AA25" s="366" t="s">
        <v>335</v>
      </c>
      <c r="AB25" s="343"/>
      <c r="AC25" s="366" t="s">
        <v>335</v>
      </c>
      <c r="AD25" s="366" t="s">
        <v>335</v>
      </c>
      <c r="AE25" s="343"/>
      <c r="AF25" s="366" t="s">
        <v>335</v>
      </c>
      <c r="AG25" s="366" t="s">
        <v>335</v>
      </c>
      <c r="AI25" s="2">
        <v>1</v>
      </c>
      <c r="AJ25" s="2">
        <v>0</v>
      </c>
      <c r="AL25" s="366" t="s">
        <v>335</v>
      </c>
      <c r="AM25" s="366" t="s">
        <v>335</v>
      </c>
      <c r="AO25" s="2">
        <v>3</v>
      </c>
      <c r="AP25" s="2">
        <v>0</v>
      </c>
      <c r="AR25" s="373" t="s">
        <v>1092</v>
      </c>
      <c r="AS25" s="2">
        <v>1</v>
      </c>
      <c r="AT25" s="369">
        <v>0</v>
      </c>
      <c r="AV25" s="342">
        <v>0</v>
      </c>
      <c r="AW25" s="370">
        <v>0</v>
      </c>
      <c r="AX25" s="370"/>
      <c r="AY25" s="2">
        <v>0</v>
      </c>
      <c r="AZ25" s="2">
        <v>0</v>
      </c>
      <c r="BB25" s="2">
        <v>1</v>
      </c>
      <c r="BC25" s="2">
        <v>0</v>
      </c>
      <c r="BE25" s="2">
        <v>4</v>
      </c>
      <c r="BF25" s="2">
        <v>0</v>
      </c>
      <c r="BH25" s="2">
        <v>0</v>
      </c>
      <c r="BI25" s="2">
        <v>0</v>
      </c>
      <c r="BK25" s="2">
        <v>1</v>
      </c>
      <c r="BL25" s="2">
        <v>0</v>
      </c>
    </row>
    <row r="26" spans="1:64" ht="12">
      <c r="A26" s="544" t="s">
        <v>389</v>
      </c>
      <c r="B26" s="539">
        <v>13</v>
      </c>
      <c r="C26" s="539">
        <v>2</v>
      </c>
      <c r="D26" s="540"/>
      <c r="E26" s="539">
        <v>16</v>
      </c>
      <c r="F26" s="539">
        <v>0</v>
      </c>
      <c r="G26" s="540"/>
      <c r="H26" s="539">
        <v>35</v>
      </c>
      <c r="I26" s="539">
        <v>4</v>
      </c>
      <c r="J26" s="540"/>
      <c r="K26" s="539">
        <v>25</v>
      </c>
      <c r="L26" s="539">
        <v>1</v>
      </c>
      <c r="M26" s="540"/>
      <c r="N26" s="539">
        <v>15</v>
      </c>
      <c r="O26" s="539">
        <v>0</v>
      </c>
      <c r="P26" s="541"/>
      <c r="Q26" s="539">
        <v>16</v>
      </c>
      <c r="R26" s="539">
        <v>3</v>
      </c>
      <c r="S26" s="541"/>
      <c r="T26" s="541">
        <v>13</v>
      </c>
      <c r="U26" s="541">
        <v>1</v>
      </c>
      <c r="V26" s="541"/>
      <c r="W26" s="541">
        <v>5</v>
      </c>
      <c r="X26" s="541">
        <v>2</v>
      </c>
      <c r="Y26" s="541"/>
      <c r="Z26" s="541">
        <v>20</v>
      </c>
      <c r="AA26" s="541">
        <v>0</v>
      </c>
      <c r="AB26" s="541"/>
      <c r="AC26" s="541">
        <v>26</v>
      </c>
      <c r="AD26" s="541">
        <v>1</v>
      </c>
      <c r="AE26" s="541"/>
      <c r="AF26" s="541">
        <v>19</v>
      </c>
      <c r="AG26" s="541">
        <v>0</v>
      </c>
      <c r="AH26" s="541"/>
      <c r="AI26" s="541">
        <v>15</v>
      </c>
      <c r="AJ26" s="541">
        <v>1</v>
      </c>
      <c r="AK26" s="541"/>
      <c r="AL26" s="541">
        <v>25</v>
      </c>
      <c r="AM26" s="541">
        <v>0</v>
      </c>
      <c r="AN26" s="541"/>
      <c r="AO26" s="541">
        <v>21</v>
      </c>
      <c r="AP26" s="541">
        <v>0</v>
      </c>
      <c r="AR26" s="544" t="s">
        <v>389</v>
      </c>
      <c r="AS26" s="541">
        <v>21</v>
      </c>
      <c r="AT26" s="545">
        <v>0</v>
      </c>
      <c r="AU26" s="541"/>
      <c r="AV26" s="541">
        <v>41</v>
      </c>
      <c r="AW26" s="545">
        <v>0</v>
      </c>
      <c r="AX26" s="545"/>
      <c r="AY26" s="541">
        <v>16</v>
      </c>
      <c r="AZ26" s="541">
        <v>1</v>
      </c>
      <c r="BA26" s="541"/>
      <c r="BB26" s="541">
        <v>16</v>
      </c>
      <c r="BC26" s="541">
        <v>0</v>
      </c>
      <c r="BD26" s="541"/>
      <c r="BE26" s="541">
        <v>25</v>
      </c>
      <c r="BF26" s="541">
        <v>0</v>
      </c>
      <c r="BH26" s="541">
        <v>19</v>
      </c>
      <c r="BI26" s="541">
        <v>0</v>
      </c>
      <c r="BK26" s="541">
        <v>30</v>
      </c>
      <c r="BL26" s="541">
        <v>0</v>
      </c>
    </row>
    <row r="27" spans="1:64" ht="12">
      <c r="A27" s="347" t="s">
        <v>392</v>
      </c>
      <c r="B27" s="216">
        <v>73</v>
      </c>
      <c r="C27" s="216">
        <v>15</v>
      </c>
      <c r="D27" s="221"/>
      <c r="E27" s="216">
        <v>71</v>
      </c>
      <c r="F27" s="216">
        <v>8</v>
      </c>
      <c r="G27" s="221"/>
      <c r="H27" s="216">
        <v>88</v>
      </c>
      <c r="I27" s="216">
        <v>9</v>
      </c>
      <c r="J27" s="221"/>
      <c r="K27" s="216">
        <v>85</v>
      </c>
      <c r="L27" s="216">
        <v>14</v>
      </c>
      <c r="M27" s="221"/>
      <c r="N27" s="216">
        <v>62</v>
      </c>
      <c r="O27" s="216">
        <v>7</v>
      </c>
      <c r="Q27" s="216">
        <v>55</v>
      </c>
      <c r="R27" s="216">
        <v>8</v>
      </c>
      <c r="T27" s="2">
        <v>55</v>
      </c>
      <c r="U27" s="2">
        <v>8</v>
      </c>
      <c r="W27" s="2">
        <v>21</v>
      </c>
      <c r="X27" s="2">
        <v>7</v>
      </c>
      <c r="Z27" s="2">
        <v>118</v>
      </c>
      <c r="AA27" s="2">
        <v>8</v>
      </c>
      <c r="AC27" s="2">
        <v>133</v>
      </c>
      <c r="AD27" s="2">
        <v>4</v>
      </c>
      <c r="AF27" s="2">
        <v>96</v>
      </c>
      <c r="AG27" s="2">
        <v>4</v>
      </c>
      <c r="AI27" s="2">
        <v>92</v>
      </c>
      <c r="AJ27" s="2">
        <v>4</v>
      </c>
      <c r="AL27" s="2">
        <v>86</v>
      </c>
      <c r="AM27" s="2">
        <v>1</v>
      </c>
      <c r="AO27" s="2">
        <v>78</v>
      </c>
      <c r="AP27" s="2">
        <v>1</v>
      </c>
      <c r="AR27" s="347" t="s">
        <v>392</v>
      </c>
      <c r="AS27" s="2">
        <v>78</v>
      </c>
      <c r="AT27" s="2">
        <v>3</v>
      </c>
      <c r="AV27" s="342">
        <v>79</v>
      </c>
      <c r="AW27" s="342">
        <v>2</v>
      </c>
      <c r="AX27" s="342"/>
      <c r="AY27" s="2">
        <v>68</v>
      </c>
      <c r="AZ27" s="2">
        <v>3</v>
      </c>
      <c r="BB27" s="2">
        <v>78</v>
      </c>
      <c r="BC27" s="2">
        <v>2</v>
      </c>
      <c r="BE27" s="2">
        <v>85</v>
      </c>
      <c r="BF27" s="2">
        <v>2</v>
      </c>
      <c r="BH27" s="2">
        <v>105</v>
      </c>
      <c r="BI27" s="2">
        <v>2</v>
      </c>
      <c r="BK27" s="2">
        <v>100</v>
      </c>
      <c r="BL27" s="2">
        <v>3</v>
      </c>
    </row>
    <row r="28" spans="1:64" ht="12">
      <c r="A28" s="544" t="s">
        <v>307</v>
      </c>
      <c r="B28" s="539">
        <v>44</v>
      </c>
      <c r="C28" s="539">
        <v>2</v>
      </c>
      <c r="D28" s="540"/>
      <c r="E28" s="539">
        <v>68</v>
      </c>
      <c r="F28" s="539">
        <v>4</v>
      </c>
      <c r="G28" s="540"/>
      <c r="H28" s="539">
        <v>38</v>
      </c>
      <c r="I28" s="539">
        <v>6</v>
      </c>
      <c r="J28" s="540"/>
      <c r="K28" s="539">
        <v>32</v>
      </c>
      <c r="L28" s="539">
        <v>2</v>
      </c>
      <c r="M28" s="540"/>
      <c r="N28" s="539">
        <v>21</v>
      </c>
      <c r="O28" s="539">
        <v>2</v>
      </c>
      <c r="P28" s="541"/>
      <c r="Q28" s="539">
        <v>24</v>
      </c>
      <c r="R28" s="539">
        <v>2</v>
      </c>
      <c r="S28" s="541"/>
      <c r="T28" s="541">
        <v>23</v>
      </c>
      <c r="U28" s="541">
        <v>3</v>
      </c>
      <c r="V28" s="541"/>
      <c r="W28" s="541">
        <v>17</v>
      </c>
      <c r="X28" s="541">
        <v>4</v>
      </c>
      <c r="Y28" s="541"/>
      <c r="Z28" s="541">
        <v>46</v>
      </c>
      <c r="AA28" s="541">
        <v>1</v>
      </c>
      <c r="AB28" s="541"/>
      <c r="AC28" s="541">
        <v>52</v>
      </c>
      <c r="AD28" s="541">
        <v>2</v>
      </c>
      <c r="AE28" s="541"/>
      <c r="AF28" s="541">
        <v>61</v>
      </c>
      <c r="AG28" s="541">
        <v>4</v>
      </c>
      <c r="AH28" s="541"/>
      <c r="AI28" s="541">
        <v>49</v>
      </c>
      <c r="AJ28" s="541">
        <v>0</v>
      </c>
      <c r="AK28" s="541"/>
      <c r="AL28" s="541">
        <v>49</v>
      </c>
      <c r="AM28" s="541">
        <v>0</v>
      </c>
      <c r="AN28" s="541"/>
      <c r="AO28" s="541">
        <v>49</v>
      </c>
      <c r="AP28" s="541">
        <v>1</v>
      </c>
      <c r="AR28" s="544" t="s">
        <v>307</v>
      </c>
      <c r="AS28" s="541">
        <v>37</v>
      </c>
      <c r="AT28" s="541">
        <v>1</v>
      </c>
      <c r="AU28" s="541"/>
      <c r="AV28" s="541">
        <v>41</v>
      </c>
      <c r="AW28" s="541">
        <v>0</v>
      </c>
      <c r="AX28" s="541"/>
      <c r="AY28" s="541">
        <v>59</v>
      </c>
      <c r="AZ28" s="541">
        <v>5</v>
      </c>
      <c r="BA28" s="541"/>
      <c r="BB28" s="541">
        <v>47</v>
      </c>
      <c r="BC28" s="541">
        <v>1</v>
      </c>
      <c r="BD28" s="541"/>
      <c r="BE28" s="541">
        <v>41</v>
      </c>
      <c r="BF28" s="541">
        <v>4</v>
      </c>
      <c r="BH28" s="541">
        <v>71</v>
      </c>
      <c r="BI28" s="541">
        <v>9</v>
      </c>
      <c r="BK28" s="541">
        <v>54</v>
      </c>
      <c r="BL28" s="541">
        <v>3</v>
      </c>
    </row>
    <row r="29" spans="1:64" ht="12">
      <c r="A29" s="347" t="s">
        <v>339</v>
      </c>
      <c r="B29" s="216">
        <v>6</v>
      </c>
      <c r="C29" s="216">
        <v>0</v>
      </c>
      <c r="D29" s="221"/>
      <c r="E29" s="216">
        <v>11</v>
      </c>
      <c r="F29" s="216">
        <v>2</v>
      </c>
      <c r="G29" s="221"/>
      <c r="H29" s="216">
        <v>9</v>
      </c>
      <c r="I29" s="216">
        <v>0</v>
      </c>
      <c r="J29" s="221"/>
      <c r="K29" s="216">
        <v>6</v>
      </c>
      <c r="L29" s="216">
        <v>0</v>
      </c>
      <c r="M29" s="221"/>
      <c r="N29" s="216">
        <v>8</v>
      </c>
      <c r="O29" s="216">
        <v>1</v>
      </c>
      <c r="Q29" s="216">
        <v>2</v>
      </c>
      <c r="R29" s="216">
        <v>0</v>
      </c>
      <c r="T29" s="2">
        <v>1</v>
      </c>
      <c r="U29" s="2">
        <v>0</v>
      </c>
      <c r="W29" s="2">
        <v>0</v>
      </c>
      <c r="X29" s="2">
        <v>0</v>
      </c>
      <c r="Z29" s="2">
        <v>7</v>
      </c>
      <c r="AA29" s="2">
        <v>0</v>
      </c>
      <c r="AC29" s="2">
        <v>11</v>
      </c>
      <c r="AD29" s="2">
        <v>2</v>
      </c>
      <c r="AF29" s="2">
        <v>11</v>
      </c>
      <c r="AG29" s="2">
        <v>0</v>
      </c>
      <c r="AI29" s="2">
        <v>6</v>
      </c>
      <c r="AJ29" s="2">
        <v>0</v>
      </c>
      <c r="AL29" s="2">
        <v>8</v>
      </c>
      <c r="AM29" s="2">
        <v>0</v>
      </c>
      <c r="AO29" s="2">
        <v>7</v>
      </c>
      <c r="AP29" s="2">
        <v>0</v>
      </c>
      <c r="AR29" s="347" t="s">
        <v>339</v>
      </c>
      <c r="AS29" s="2">
        <v>8</v>
      </c>
      <c r="AT29" s="2">
        <v>0</v>
      </c>
      <c r="AV29" s="342">
        <v>6</v>
      </c>
      <c r="AW29" s="342">
        <v>1</v>
      </c>
      <c r="AX29" s="342"/>
      <c r="AY29" s="2">
        <v>5</v>
      </c>
      <c r="AZ29" s="2">
        <v>0</v>
      </c>
      <c r="BB29" s="2">
        <v>4</v>
      </c>
      <c r="BC29" s="2">
        <v>0</v>
      </c>
      <c r="BE29" s="2">
        <v>8</v>
      </c>
      <c r="BF29" s="2">
        <v>0</v>
      </c>
      <c r="BH29" s="2">
        <v>10</v>
      </c>
      <c r="BI29" s="2">
        <v>0</v>
      </c>
      <c r="BK29" s="2">
        <v>9</v>
      </c>
      <c r="BL29" s="2">
        <v>0</v>
      </c>
    </row>
    <row r="30" spans="1:64" ht="12">
      <c r="A30" s="544" t="s">
        <v>375</v>
      </c>
      <c r="B30" s="539">
        <v>13</v>
      </c>
      <c r="C30" s="539">
        <v>0</v>
      </c>
      <c r="D30" s="540"/>
      <c r="E30" s="539">
        <v>10</v>
      </c>
      <c r="F30" s="539">
        <v>1</v>
      </c>
      <c r="G30" s="540"/>
      <c r="H30" s="539">
        <v>10</v>
      </c>
      <c r="I30" s="539">
        <v>1</v>
      </c>
      <c r="J30" s="540"/>
      <c r="K30" s="539">
        <v>4</v>
      </c>
      <c r="L30" s="539">
        <v>0</v>
      </c>
      <c r="M30" s="540"/>
      <c r="N30" s="539">
        <v>5</v>
      </c>
      <c r="O30" s="539">
        <v>0</v>
      </c>
      <c r="P30" s="541"/>
      <c r="Q30" s="539">
        <v>11</v>
      </c>
      <c r="R30" s="539">
        <v>1</v>
      </c>
      <c r="S30" s="541"/>
      <c r="T30" s="541">
        <v>9</v>
      </c>
      <c r="U30" s="541">
        <v>0</v>
      </c>
      <c r="V30" s="541"/>
      <c r="W30" s="541">
        <v>3</v>
      </c>
      <c r="X30" s="541">
        <v>0</v>
      </c>
      <c r="Y30" s="541"/>
      <c r="Z30" s="541">
        <v>3</v>
      </c>
      <c r="AA30" s="541">
        <v>0</v>
      </c>
      <c r="AB30" s="541"/>
      <c r="AC30" s="541">
        <v>10</v>
      </c>
      <c r="AD30" s="541">
        <v>0</v>
      </c>
      <c r="AE30" s="541"/>
      <c r="AF30" s="541">
        <v>7</v>
      </c>
      <c r="AG30" s="541">
        <v>0</v>
      </c>
      <c r="AH30" s="541"/>
      <c r="AI30" s="541">
        <v>3</v>
      </c>
      <c r="AJ30" s="541">
        <v>0</v>
      </c>
      <c r="AK30" s="541"/>
      <c r="AL30" s="541">
        <v>4</v>
      </c>
      <c r="AM30" s="541">
        <v>0</v>
      </c>
      <c r="AN30" s="541"/>
      <c r="AO30" s="541">
        <v>4</v>
      </c>
      <c r="AP30" s="541">
        <v>0</v>
      </c>
      <c r="AR30" s="544" t="s">
        <v>375</v>
      </c>
      <c r="AS30" s="545" t="s">
        <v>335</v>
      </c>
      <c r="AT30" s="545" t="s">
        <v>335</v>
      </c>
      <c r="AU30" s="541"/>
      <c r="AV30" s="545">
        <v>3</v>
      </c>
      <c r="AW30" s="545">
        <v>0</v>
      </c>
      <c r="AX30" s="545"/>
      <c r="AY30" s="541">
        <v>3</v>
      </c>
      <c r="AZ30" s="541">
        <v>0</v>
      </c>
      <c r="BA30" s="541"/>
      <c r="BB30" s="541">
        <v>7</v>
      </c>
      <c r="BC30" s="541">
        <v>0</v>
      </c>
      <c r="BD30" s="541"/>
      <c r="BE30" s="541">
        <v>2</v>
      </c>
      <c r="BF30" s="541">
        <v>0</v>
      </c>
      <c r="BH30" s="541">
        <v>8</v>
      </c>
      <c r="BI30" s="541">
        <v>0</v>
      </c>
      <c r="BK30" s="541">
        <v>2</v>
      </c>
      <c r="BL30" s="541">
        <v>0</v>
      </c>
    </row>
    <row r="31" spans="1:64" ht="12">
      <c r="A31" s="347" t="s">
        <v>285</v>
      </c>
      <c r="B31" s="216">
        <v>9</v>
      </c>
      <c r="C31" s="216">
        <v>0</v>
      </c>
      <c r="D31" s="221"/>
      <c r="E31" s="216">
        <v>7</v>
      </c>
      <c r="F31" s="216">
        <v>1</v>
      </c>
      <c r="G31" s="221"/>
      <c r="H31" s="216">
        <v>5</v>
      </c>
      <c r="I31" s="216">
        <v>2</v>
      </c>
      <c r="J31" s="221"/>
      <c r="K31" s="216">
        <v>9</v>
      </c>
      <c r="L31" s="216">
        <v>1</v>
      </c>
      <c r="M31" s="221"/>
      <c r="N31" s="216">
        <v>5</v>
      </c>
      <c r="O31" s="216">
        <v>0</v>
      </c>
      <c r="Q31" s="216">
        <v>1</v>
      </c>
      <c r="R31" s="216">
        <v>0</v>
      </c>
      <c r="T31" s="2">
        <v>5</v>
      </c>
      <c r="U31" s="2">
        <v>0</v>
      </c>
      <c r="W31" s="2">
        <v>6</v>
      </c>
      <c r="X31" s="2">
        <v>1</v>
      </c>
      <c r="Z31" s="2">
        <v>4</v>
      </c>
      <c r="AA31" s="2">
        <v>1</v>
      </c>
      <c r="AC31" s="2">
        <v>10</v>
      </c>
      <c r="AD31" s="2">
        <v>0</v>
      </c>
      <c r="AF31" s="2">
        <v>6</v>
      </c>
      <c r="AG31" s="2">
        <v>0</v>
      </c>
      <c r="AI31" s="2">
        <v>5</v>
      </c>
      <c r="AJ31" s="2">
        <v>0</v>
      </c>
      <c r="AL31" s="2">
        <v>6</v>
      </c>
      <c r="AM31" s="2">
        <v>0</v>
      </c>
      <c r="AO31" s="2">
        <v>5</v>
      </c>
      <c r="AP31" s="2">
        <v>1</v>
      </c>
      <c r="AR31" s="347" t="s">
        <v>285</v>
      </c>
      <c r="AS31" s="2">
        <v>6</v>
      </c>
      <c r="AT31" s="2">
        <v>0</v>
      </c>
      <c r="AV31" s="342">
        <v>5</v>
      </c>
      <c r="AW31" s="342">
        <v>0</v>
      </c>
      <c r="AX31" s="342"/>
      <c r="AY31" s="2">
        <v>2</v>
      </c>
      <c r="AZ31" s="2">
        <v>0</v>
      </c>
      <c r="BB31" s="2">
        <v>0</v>
      </c>
      <c r="BC31" s="2">
        <v>0</v>
      </c>
      <c r="BE31" s="2">
        <v>0</v>
      </c>
      <c r="BF31" s="2">
        <v>0</v>
      </c>
      <c r="BH31" s="2">
        <v>5</v>
      </c>
      <c r="BI31" s="2">
        <v>0</v>
      </c>
      <c r="BK31" s="2">
        <v>3</v>
      </c>
      <c r="BL31" s="2">
        <v>0</v>
      </c>
    </row>
    <row r="32" spans="1:64" ht="12">
      <c r="A32" s="544" t="s">
        <v>1080</v>
      </c>
      <c r="B32" s="539">
        <v>12</v>
      </c>
      <c r="C32" s="539">
        <v>1</v>
      </c>
      <c r="D32" s="540"/>
      <c r="E32" s="539">
        <v>9</v>
      </c>
      <c r="F32" s="539">
        <v>1</v>
      </c>
      <c r="G32" s="540"/>
      <c r="H32" s="539">
        <v>10</v>
      </c>
      <c r="I32" s="539">
        <v>2</v>
      </c>
      <c r="J32" s="540"/>
      <c r="K32" s="539">
        <v>14</v>
      </c>
      <c r="L32" s="539">
        <v>1</v>
      </c>
      <c r="M32" s="540"/>
      <c r="N32" s="539">
        <v>0</v>
      </c>
      <c r="O32" s="539">
        <v>0</v>
      </c>
      <c r="P32" s="541"/>
      <c r="Q32" s="539">
        <v>16</v>
      </c>
      <c r="R32" s="539">
        <v>0</v>
      </c>
      <c r="S32" s="541"/>
      <c r="T32" s="541">
        <v>10</v>
      </c>
      <c r="U32" s="541">
        <v>0</v>
      </c>
      <c r="V32" s="541"/>
      <c r="W32" s="541">
        <v>3</v>
      </c>
      <c r="X32" s="541">
        <v>2</v>
      </c>
      <c r="Y32" s="541"/>
      <c r="Z32" s="541">
        <v>16</v>
      </c>
      <c r="AA32" s="541">
        <v>2</v>
      </c>
      <c r="AB32" s="541"/>
      <c r="AC32" s="541">
        <v>22</v>
      </c>
      <c r="AD32" s="541">
        <v>0</v>
      </c>
      <c r="AE32" s="541"/>
      <c r="AF32" s="541">
        <v>23</v>
      </c>
      <c r="AG32" s="541">
        <v>1</v>
      </c>
      <c r="AH32" s="541"/>
      <c r="AI32" s="541">
        <v>24</v>
      </c>
      <c r="AJ32" s="541">
        <v>0</v>
      </c>
      <c r="AK32" s="541"/>
      <c r="AL32" s="541">
        <v>11</v>
      </c>
      <c r="AM32" s="541">
        <v>0</v>
      </c>
      <c r="AN32" s="541"/>
      <c r="AO32" s="541">
        <v>13</v>
      </c>
      <c r="AP32" s="541">
        <v>0</v>
      </c>
      <c r="AR32" s="544" t="s">
        <v>1080</v>
      </c>
      <c r="AS32" s="541">
        <v>14</v>
      </c>
      <c r="AT32" s="541">
        <v>0</v>
      </c>
      <c r="AU32" s="541"/>
      <c r="AV32" s="541">
        <v>16</v>
      </c>
      <c r="AW32" s="541">
        <v>0</v>
      </c>
      <c r="AX32" s="541"/>
      <c r="AY32" s="541">
        <v>11</v>
      </c>
      <c r="AZ32" s="541">
        <v>1</v>
      </c>
      <c r="BA32" s="541"/>
      <c r="BB32" s="541">
        <v>11</v>
      </c>
      <c r="BC32" s="541">
        <v>1</v>
      </c>
      <c r="BD32" s="541"/>
      <c r="BE32" s="541">
        <v>11</v>
      </c>
      <c r="BF32" s="541">
        <v>0</v>
      </c>
      <c r="BH32" s="541">
        <v>16</v>
      </c>
      <c r="BI32" s="541">
        <v>1</v>
      </c>
      <c r="BK32" s="541">
        <v>16</v>
      </c>
      <c r="BL32" s="541">
        <v>1</v>
      </c>
    </row>
    <row r="33" spans="1:64" ht="12">
      <c r="A33" s="347" t="s">
        <v>1036</v>
      </c>
      <c r="B33" s="216">
        <v>0</v>
      </c>
      <c r="C33" s="216">
        <v>0</v>
      </c>
      <c r="D33" s="221"/>
      <c r="E33" s="216">
        <v>3</v>
      </c>
      <c r="F33" s="216">
        <v>0</v>
      </c>
      <c r="G33" s="221"/>
      <c r="H33" s="216">
        <v>3</v>
      </c>
      <c r="I33" s="216">
        <v>0</v>
      </c>
      <c r="J33" s="221"/>
      <c r="K33" s="216">
        <v>3</v>
      </c>
      <c r="L33" s="216">
        <v>0</v>
      </c>
      <c r="M33" s="221"/>
      <c r="N33" s="216">
        <v>0</v>
      </c>
      <c r="O33" s="216">
        <v>0</v>
      </c>
      <c r="Q33" s="216">
        <v>1</v>
      </c>
      <c r="R33" s="216">
        <v>1</v>
      </c>
      <c r="T33" s="2">
        <v>3</v>
      </c>
      <c r="U33" s="2">
        <v>0</v>
      </c>
      <c r="W33" s="2">
        <v>1</v>
      </c>
      <c r="X33" s="2">
        <v>0</v>
      </c>
      <c r="Z33" s="2">
        <v>5</v>
      </c>
      <c r="AA33" s="2">
        <v>0</v>
      </c>
      <c r="AC33" s="2">
        <v>6</v>
      </c>
      <c r="AD33" s="2">
        <v>1</v>
      </c>
      <c r="AF33" s="2">
        <v>2</v>
      </c>
      <c r="AG33" s="2">
        <v>1</v>
      </c>
      <c r="AI33" s="2">
        <v>4</v>
      </c>
      <c r="AJ33" s="2">
        <v>1</v>
      </c>
      <c r="AL33" s="2">
        <v>1</v>
      </c>
      <c r="AM33" s="2">
        <v>0</v>
      </c>
      <c r="AO33" s="2">
        <v>4</v>
      </c>
      <c r="AP33" s="2">
        <v>0</v>
      </c>
      <c r="AR33" s="347" t="s">
        <v>1036</v>
      </c>
      <c r="AS33" s="2">
        <v>5</v>
      </c>
      <c r="AT33" s="2">
        <v>0</v>
      </c>
      <c r="AV33" s="342">
        <v>2</v>
      </c>
      <c r="AW33" s="342">
        <v>0</v>
      </c>
      <c r="AX33" s="342"/>
      <c r="AY33" s="2">
        <v>3</v>
      </c>
      <c r="AZ33" s="2">
        <v>0</v>
      </c>
      <c r="BB33" s="2">
        <v>5</v>
      </c>
      <c r="BC33" s="2">
        <v>0</v>
      </c>
      <c r="BE33" s="2">
        <v>7</v>
      </c>
      <c r="BF33" s="2">
        <v>0</v>
      </c>
      <c r="BH33" s="2">
        <v>4</v>
      </c>
      <c r="BI33" s="2">
        <v>1</v>
      </c>
      <c r="BK33" s="2">
        <v>3</v>
      </c>
      <c r="BL33" s="2">
        <v>0</v>
      </c>
    </row>
    <row r="34" spans="1:64" ht="12">
      <c r="A34" s="544" t="s">
        <v>1009</v>
      </c>
      <c r="B34" s="539">
        <v>34</v>
      </c>
      <c r="C34" s="539">
        <v>2</v>
      </c>
      <c r="D34" s="540"/>
      <c r="E34" s="539">
        <v>14</v>
      </c>
      <c r="F34" s="539">
        <v>3</v>
      </c>
      <c r="G34" s="540"/>
      <c r="H34" s="539">
        <v>19</v>
      </c>
      <c r="I34" s="539">
        <v>1</v>
      </c>
      <c r="J34" s="540"/>
      <c r="K34" s="539">
        <v>17</v>
      </c>
      <c r="L34" s="539">
        <v>1</v>
      </c>
      <c r="M34" s="540"/>
      <c r="N34" s="539">
        <v>25</v>
      </c>
      <c r="O34" s="539">
        <v>3</v>
      </c>
      <c r="P34" s="541"/>
      <c r="Q34" s="539">
        <v>14</v>
      </c>
      <c r="R34" s="539">
        <v>0</v>
      </c>
      <c r="S34" s="541"/>
      <c r="T34" s="541">
        <v>13</v>
      </c>
      <c r="U34" s="541">
        <v>1</v>
      </c>
      <c r="V34" s="541"/>
      <c r="W34" s="541">
        <v>5</v>
      </c>
      <c r="X34" s="541">
        <v>1</v>
      </c>
      <c r="Y34" s="541"/>
      <c r="Z34" s="541">
        <v>53</v>
      </c>
      <c r="AA34" s="541">
        <v>2</v>
      </c>
      <c r="AB34" s="541"/>
      <c r="AC34" s="541">
        <v>38</v>
      </c>
      <c r="AD34" s="541">
        <v>3</v>
      </c>
      <c r="AE34" s="541"/>
      <c r="AF34" s="541">
        <v>38</v>
      </c>
      <c r="AG34" s="541">
        <v>0</v>
      </c>
      <c r="AH34" s="541"/>
      <c r="AI34" s="541">
        <v>25</v>
      </c>
      <c r="AJ34" s="541">
        <v>0</v>
      </c>
      <c r="AK34" s="541"/>
      <c r="AL34" s="541">
        <v>32</v>
      </c>
      <c r="AM34" s="541">
        <v>2</v>
      </c>
      <c r="AN34" s="541"/>
      <c r="AO34" s="541">
        <v>36</v>
      </c>
      <c r="AP34" s="541">
        <v>1</v>
      </c>
      <c r="AR34" s="544" t="s">
        <v>1009</v>
      </c>
      <c r="AS34" s="541">
        <v>23</v>
      </c>
      <c r="AT34" s="541">
        <v>1</v>
      </c>
      <c r="AU34" s="541"/>
      <c r="AV34" s="541">
        <v>28</v>
      </c>
      <c r="AW34" s="541">
        <v>1</v>
      </c>
      <c r="AX34" s="541"/>
      <c r="AY34" s="541">
        <v>10</v>
      </c>
      <c r="AZ34" s="541">
        <v>0</v>
      </c>
      <c r="BA34" s="541"/>
      <c r="BB34" s="541">
        <v>29</v>
      </c>
      <c r="BC34" s="541">
        <v>2</v>
      </c>
      <c r="BD34" s="541"/>
      <c r="BE34" s="541">
        <v>30</v>
      </c>
      <c r="BF34" s="541">
        <v>2</v>
      </c>
      <c r="BH34" s="541">
        <v>17</v>
      </c>
      <c r="BI34" s="541">
        <v>0</v>
      </c>
      <c r="BK34" s="541">
        <v>31</v>
      </c>
      <c r="BL34" s="541">
        <v>0</v>
      </c>
    </row>
    <row r="35" spans="1:64" ht="12">
      <c r="A35" s="347" t="s">
        <v>396</v>
      </c>
      <c r="B35" s="216">
        <v>14</v>
      </c>
      <c r="C35" s="216">
        <v>0</v>
      </c>
      <c r="D35" s="221"/>
      <c r="E35" s="216">
        <v>13</v>
      </c>
      <c r="F35" s="216">
        <v>4</v>
      </c>
      <c r="G35" s="221"/>
      <c r="H35" s="216">
        <v>17</v>
      </c>
      <c r="I35" s="216">
        <v>2</v>
      </c>
      <c r="J35" s="221"/>
      <c r="K35" s="216">
        <v>12</v>
      </c>
      <c r="L35" s="216">
        <v>2</v>
      </c>
      <c r="M35" s="221"/>
      <c r="N35" s="216">
        <v>8</v>
      </c>
      <c r="O35" s="216">
        <v>0</v>
      </c>
      <c r="Q35" s="216">
        <v>11</v>
      </c>
      <c r="R35" s="216">
        <v>4</v>
      </c>
      <c r="T35" s="2">
        <v>7</v>
      </c>
      <c r="U35" s="2">
        <v>1</v>
      </c>
      <c r="W35" s="2">
        <v>3</v>
      </c>
      <c r="X35" s="2">
        <v>0</v>
      </c>
      <c r="Z35" s="2">
        <v>11</v>
      </c>
      <c r="AA35" s="2">
        <v>1</v>
      </c>
      <c r="AC35" s="2">
        <v>18</v>
      </c>
      <c r="AD35" s="2">
        <v>0</v>
      </c>
      <c r="AF35" s="2">
        <v>12</v>
      </c>
      <c r="AG35" s="2">
        <v>1</v>
      </c>
      <c r="AI35" s="2">
        <v>22</v>
      </c>
      <c r="AJ35" s="2">
        <v>2</v>
      </c>
      <c r="AL35" s="2">
        <v>16</v>
      </c>
      <c r="AM35" s="2">
        <v>0</v>
      </c>
      <c r="AO35" s="2">
        <v>16</v>
      </c>
      <c r="AP35" s="2">
        <v>1</v>
      </c>
      <c r="AR35" s="347" t="s">
        <v>396</v>
      </c>
      <c r="AS35" s="2">
        <v>22</v>
      </c>
      <c r="AT35" s="2">
        <v>1</v>
      </c>
      <c r="AV35" s="342">
        <v>16</v>
      </c>
      <c r="AW35" s="342">
        <v>0</v>
      </c>
      <c r="AX35" s="342"/>
      <c r="AY35" s="2">
        <v>15</v>
      </c>
      <c r="AZ35" s="2">
        <v>2</v>
      </c>
      <c r="BB35" s="2">
        <v>18</v>
      </c>
      <c r="BC35" s="2">
        <v>3</v>
      </c>
      <c r="BE35" s="2">
        <v>16</v>
      </c>
      <c r="BF35" s="2">
        <v>0</v>
      </c>
      <c r="BH35" s="2">
        <v>18</v>
      </c>
      <c r="BI35" s="2">
        <v>0</v>
      </c>
      <c r="BK35" s="2">
        <v>17</v>
      </c>
      <c r="BL35" s="2">
        <v>0</v>
      </c>
    </row>
    <row r="36" spans="1:64" ht="12">
      <c r="A36" s="544" t="s">
        <v>1078</v>
      </c>
      <c r="B36" s="539">
        <v>111</v>
      </c>
      <c r="C36" s="539">
        <v>18</v>
      </c>
      <c r="D36" s="540"/>
      <c r="E36" s="539">
        <v>145</v>
      </c>
      <c r="F36" s="539">
        <v>11</v>
      </c>
      <c r="G36" s="540"/>
      <c r="H36" s="539">
        <v>152</v>
      </c>
      <c r="I36" s="539">
        <v>19</v>
      </c>
      <c r="J36" s="540"/>
      <c r="K36" s="539">
        <v>94</v>
      </c>
      <c r="L36" s="539">
        <v>9</v>
      </c>
      <c r="M36" s="540"/>
      <c r="N36" s="539">
        <v>85</v>
      </c>
      <c r="O36" s="539">
        <v>12</v>
      </c>
      <c r="P36" s="541"/>
      <c r="Q36" s="539">
        <v>83</v>
      </c>
      <c r="R36" s="539">
        <v>14</v>
      </c>
      <c r="S36" s="541"/>
      <c r="T36" s="541">
        <v>76</v>
      </c>
      <c r="U36" s="541">
        <v>12</v>
      </c>
      <c r="V36" s="541"/>
      <c r="W36" s="541">
        <v>29</v>
      </c>
      <c r="X36" s="541">
        <v>7</v>
      </c>
      <c r="Y36" s="541"/>
      <c r="Z36" s="541">
        <v>131</v>
      </c>
      <c r="AA36" s="541">
        <v>6</v>
      </c>
      <c r="AB36" s="541"/>
      <c r="AC36" s="541">
        <v>147</v>
      </c>
      <c r="AD36" s="541">
        <v>5</v>
      </c>
      <c r="AE36" s="541"/>
      <c r="AF36" s="541">
        <v>126</v>
      </c>
      <c r="AG36" s="541">
        <v>9</v>
      </c>
      <c r="AH36" s="541"/>
      <c r="AI36" s="541">
        <v>137</v>
      </c>
      <c r="AJ36" s="541">
        <v>11</v>
      </c>
      <c r="AK36" s="541"/>
      <c r="AL36" s="541">
        <v>144</v>
      </c>
      <c r="AM36" s="541">
        <v>10</v>
      </c>
      <c r="AN36" s="541"/>
      <c r="AO36" s="541">
        <v>126</v>
      </c>
      <c r="AP36" s="541">
        <v>2</v>
      </c>
      <c r="AR36" s="544" t="s">
        <v>1078</v>
      </c>
      <c r="AS36" s="541">
        <v>136</v>
      </c>
      <c r="AT36" s="541">
        <v>15</v>
      </c>
      <c r="AU36" s="541"/>
      <c r="AV36" s="541">
        <v>129</v>
      </c>
      <c r="AW36" s="541">
        <v>4</v>
      </c>
      <c r="AX36" s="541"/>
      <c r="AY36" s="541">
        <v>127</v>
      </c>
      <c r="AZ36" s="541">
        <v>9</v>
      </c>
      <c r="BA36" s="541"/>
      <c r="BB36" s="541">
        <v>122</v>
      </c>
      <c r="BC36" s="541">
        <v>5</v>
      </c>
      <c r="BD36" s="541"/>
      <c r="BE36" s="541">
        <v>176</v>
      </c>
      <c r="BF36" s="541">
        <v>4</v>
      </c>
      <c r="BH36" s="541">
        <v>137</v>
      </c>
      <c r="BI36" s="541">
        <v>1</v>
      </c>
      <c r="BK36" s="541">
        <v>132</v>
      </c>
      <c r="BL36" s="541">
        <v>3</v>
      </c>
    </row>
    <row r="37" spans="1:64" ht="12">
      <c r="A37" s="347" t="s">
        <v>1077</v>
      </c>
      <c r="B37" s="216">
        <v>88</v>
      </c>
      <c r="C37" s="216">
        <v>9</v>
      </c>
      <c r="D37" s="221"/>
      <c r="E37" s="216">
        <v>154</v>
      </c>
      <c r="F37" s="216">
        <v>8</v>
      </c>
      <c r="G37" s="221"/>
      <c r="H37" s="216">
        <v>149</v>
      </c>
      <c r="I37" s="216">
        <v>21</v>
      </c>
      <c r="J37" s="221"/>
      <c r="K37" s="216">
        <v>121</v>
      </c>
      <c r="L37" s="216">
        <v>16</v>
      </c>
      <c r="M37" s="221"/>
      <c r="N37" s="216">
        <v>99</v>
      </c>
      <c r="O37" s="216">
        <v>11</v>
      </c>
      <c r="Q37" s="216">
        <v>91</v>
      </c>
      <c r="R37" s="216">
        <v>11</v>
      </c>
      <c r="T37" s="2">
        <v>77</v>
      </c>
      <c r="U37" s="2">
        <v>11</v>
      </c>
      <c r="W37" s="2">
        <v>39</v>
      </c>
      <c r="X37" s="2">
        <v>9</v>
      </c>
      <c r="Z37" s="2">
        <v>185</v>
      </c>
      <c r="AA37" s="2">
        <v>5</v>
      </c>
      <c r="AC37" s="2">
        <v>192</v>
      </c>
      <c r="AD37" s="2">
        <v>3</v>
      </c>
      <c r="AF37" s="2">
        <v>212</v>
      </c>
      <c r="AG37" s="2">
        <v>4</v>
      </c>
      <c r="AI37" s="2">
        <v>259</v>
      </c>
      <c r="AJ37" s="2">
        <v>7</v>
      </c>
      <c r="AL37" s="2">
        <v>280</v>
      </c>
      <c r="AM37" s="2">
        <v>6</v>
      </c>
      <c r="AO37" s="2">
        <v>258</v>
      </c>
      <c r="AP37" s="2">
        <v>2</v>
      </c>
      <c r="AR37" s="347" t="s">
        <v>1077</v>
      </c>
      <c r="AS37" s="2">
        <v>280</v>
      </c>
      <c r="AT37" s="2">
        <v>7</v>
      </c>
      <c r="AV37" s="342">
        <v>295</v>
      </c>
      <c r="AW37" s="342">
        <v>5</v>
      </c>
      <c r="AX37" s="342"/>
      <c r="AY37" s="2">
        <v>239</v>
      </c>
      <c r="AZ37" s="2">
        <v>2</v>
      </c>
      <c r="BB37" s="2">
        <v>242</v>
      </c>
      <c r="BC37" s="2">
        <v>1</v>
      </c>
      <c r="BE37" s="2">
        <v>281</v>
      </c>
      <c r="BF37" s="2">
        <v>3</v>
      </c>
      <c r="BH37" s="2">
        <v>301</v>
      </c>
      <c r="BI37" s="2">
        <v>1</v>
      </c>
      <c r="BK37" s="2">
        <v>339</v>
      </c>
      <c r="BL37" s="2">
        <v>2</v>
      </c>
    </row>
    <row r="38" spans="1:64" ht="12">
      <c r="A38" s="544" t="s">
        <v>390</v>
      </c>
      <c r="B38" s="539">
        <v>49</v>
      </c>
      <c r="C38" s="539">
        <v>4</v>
      </c>
      <c r="D38" s="540"/>
      <c r="E38" s="539">
        <v>45</v>
      </c>
      <c r="F38" s="539">
        <v>5</v>
      </c>
      <c r="G38" s="540"/>
      <c r="H38" s="539">
        <v>33</v>
      </c>
      <c r="I38" s="539">
        <v>2</v>
      </c>
      <c r="J38" s="540"/>
      <c r="K38" s="539">
        <v>47</v>
      </c>
      <c r="L38" s="539">
        <v>5</v>
      </c>
      <c r="M38" s="540"/>
      <c r="N38" s="539">
        <v>39</v>
      </c>
      <c r="O38" s="539">
        <v>5</v>
      </c>
      <c r="P38" s="541"/>
      <c r="Q38" s="539">
        <v>35</v>
      </c>
      <c r="R38" s="539">
        <v>5</v>
      </c>
      <c r="S38" s="541"/>
      <c r="T38" s="541">
        <v>19</v>
      </c>
      <c r="U38" s="541">
        <v>3</v>
      </c>
      <c r="V38" s="541"/>
      <c r="W38" s="541">
        <v>13</v>
      </c>
      <c r="X38" s="541">
        <v>5</v>
      </c>
      <c r="Y38" s="541"/>
      <c r="Z38" s="541">
        <v>69</v>
      </c>
      <c r="AA38" s="541">
        <v>4</v>
      </c>
      <c r="AB38" s="541"/>
      <c r="AC38" s="541">
        <v>84</v>
      </c>
      <c r="AD38" s="541">
        <v>1</v>
      </c>
      <c r="AE38" s="541"/>
      <c r="AF38" s="541">
        <v>71</v>
      </c>
      <c r="AG38" s="541">
        <v>0</v>
      </c>
      <c r="AH38" s="541"/>
      <c r="AI38" s="541">
        <v>57</v>
      </c>
      <c r="AJ38" s="541">
        <v>1</v>
      </c>
      <c r="AK38" s="541"/>
      <c r="AL38" s="541">
        <v>59</v>
      </c>
      <c r="AM38" s="541">
        <v>3</v>
      </c>
      <c r="AN38" s="541"/>
      <c r="AO38" s="541">
        <v>81</v>
      </c>
      <c r="AP38" s="541">
        <v>0</v>
      </c>
      <c r="AR38" s="544" t="s">
        <v>390</v>
      </c>
      <c r="AS38" s="541">
        <v>68</v>
      </c>
      <c r="AT38" s="541">
        <v>2</v>
      </c>
      <c r="AU38" s="541"/>
      <c r="AV38" s="541">
        <v>79</v>
      </c>
      <c r="AW38" s="541">
        <v>3</v>
      </c>
      <c r="AX38" s="541"/>
      <c r="AY38" s="541">
        <v>59</v>
      </c>
      <c r="AZ38" s="541">
        <v>3</v>
      </c>
      <c r="BA38" s="541"/>
      <c r="BB38" s="541">
        <v>46</v>
      </c>
      <c r="BC38" s="541">
        <v>0</v>
      </c>
      <c r="BD38" s="541"/>
      <c r="BE38" s="541">
        <v>82</v>
      </c>
      <c r="BF38" s="541">
        <v>2</v>
      </c>
      <c r="BH38" s="541">
        <v>80</v>
      </c>
      <c r="BI38" s="541">
        <v>1</v>
      </c>
      <c r="BK38" s="541">
        <v>74</v>
      </c>
      <c r="BL38" s="541">
        <v>2</v>
      </c>
    </row>
    <row r="39" spans="1:64" ht="12">
      <c r="A39" s="347" t="s">
        <v>393</v>
      </c>
      <c r="B39" s="216">
        <v>13</v>
      </c>
      <c r="C39" s="216">
        <v>1</v>
      </c>
      <c r="D39" s="221"/>
      <c r="E39" s="216">
        <v>13</v>
      </c>
      <c r="F39" s="216">
        <v>1</v>
      </c>
      <c r="G39" s="221"/>
      <c r="H39" s="216">
        <v>6</v>
      </c>
      <c r="I39" s="216">
        <v>1</v>
      </c>
      <c r="J39" s="221"/>
      <c r="K39" s="216">
        <v>18</v>
      </c>
      <c r="L39" s="216">
        <v>3</v>
      </c>
      <c r="M39" s="221"/>
      <c r="N39" s="216">
        <v>5</v>
      </c>
      <c r="O39" s="216">
        <v>0</v>
      </c>
      <c r="Q39" s="216">
        <v>9</v>
      </c>
      <c r="R39" s="216">
        <v>2</v>
      </c>
      <c r="T39" s="2">
        <v>11</v>
      </c>
      <c r="U39" s="2">
        <v>0</v>
      </c>
      <c r="W39" s="2">
        <v>3</v>
      </c>
      <c r="X39" s="2">
        <v>0</v>
      </c>
      <c r="Z39" s="2">
        <v>25</v>
      </c>
      <c r="AA39" s="2">
        <v>1</v>
      </c>
      <c r="AC39" s="2">
        <v>29</v>
      </c>
      <c r="AD39" s="2">
        <v>5</v>
      </c>
      <c r="AF39" s="2">
        <v>19</v>
      </c>
      <c r="AG39" s="2">
        <v>0</v>
      </c>
      <c r="AI39" s="2">
        <v>15</v>
      </c>
      <c r="AJ39" s="2">
        <v>0</v>
      </c>
      <c r="AL39" s="2">
        <v>26</v>
      </c>
      <c r="AM39" s="2">
        <v>1</v>
      </c>
      <c r="AO39" s="2">
        <v>22</v>
      </c>
      <c r="AP39" s="2">
        <v>1</v>
      </c>
      <c r="AR39" s="347" t="s">
        <v>393</v>
      </c>
      <c r="AS39" s="2">
        <v>23</v>
      </c>
      <c r="AT39" s="2">
        <v>1</v>
      </c>
      <c r="AV39" s="342">
        <v>35</v>
      </c>
      <c r="AW39" s="342">
        <v>0</v>
      </c>
      <c r="AX39" s="342"/>
      <c r="AY39" s="2">
        <v>23</v>
      </c>
      <c r="AZ39" s="2">
        <v>0</v>
      </c>
      <c r="BB39" s="2">
        <v>26</v>
      </c>
      <c r="BC39" s="2">
        <v>0</v>
      </c>
      <c r="BE39" s="2">
        <v>34</v>
      </c>
      <c r="BF39" s="2">
        <v>0</v>
      </c>
      <c r="BH39" s="2">
        <v>44</v>
      </c>
      <c r="BI39" s="2">
        <v>1</v>
      </c>
      <c r="BK39" s="2">
        <v>43</v>
      </c>
      <c r="BL39" s="2">
        <v>1</v>
      </c>
    </row>
    <row r="40" spans="1:64" ht="12">
      <c r="A40" s="544" t="s">
        <v>394</v>
      </c>
      <c r="B40" s="539">
        <v>9</v>
      </c>
      <c r="C40" s="539">
        <v>0</v>
      </c>
      <c r="D40" s="540"/>
      <c r="E40" s="539">
        <v>7</v>
      </c>
      <c r="F40" s="539">
        <v>0</v>
      </c>
      <c r="G40" s="540"/>
      <c r="H40" s="539">
        <v>1</v>
      </c>
      <c r="I40" s="539">
        <v>0</v>
      </c>
      <c r="J40" s="540"/>
      <c r="K40" s="539">
        <v>9</v>
      </c>
      <c r="L40" s="539">
        <v>0</v>
      </c>
      <c r="M40" s="540"/>
      <c r="N40" s="539">
        <v>11</v>
      </c>
      <c r="O40" s="539">
        <v>1</v>
      </c>
      <c r="P40" s="541"/>
      <c r="Q40" s="539">
        <v>5</v>
      </c>
      <c r="R40" s="539">
        <v>0</v>
      </c>
      <c r="S40" s="541"/>
      <c r="T40" s="541">
        <v>5</v>
      </c>
      <c r="U40" s="541">
        <v>0</v>
      </c>
      <c r="V40" s="541"/>
      <c r="W40" s="541">
        <v>3</v>
      </c>
      <c r="X40" s="541">
        <v>0</v>
      </c>
      <c r="Y40" s="541"/>
      <c r="Z40" s="541">
        <v>22</v>
      </c>
      <c r="AA40" s="541">
        <v>0</v>
      </c>
      <c r="AB40" s="541"/>
      <c r="AC40" s="541">
        <v>23</v>
      </c>
      <c r="AD40" s="541">
        <v>0</v>
      </c>
      <c r="AE40" s="541"/>
      <c r="AF40" s="541">
        <v>26</v>
      </c>
      <c r="AG40" s="541">
        <v>1</v>
      </c>
      <c r="AH40" s="541"/>
      <c r="AI40" s="541">
        <v>22</v>
      </c>
      <c r="AJ40" s="541">
        <v>0</v>
      </c>
      <c r="AK40" s="541"/>
      <c r="AL40" s="541">
        <v>24</v>
      </c>
      <c r="AM40" s="541">
        <v>1</v>
      </c>
      <c r="AN40" s="541"/>
      <c r="AO40" s="541">
        <v>22</v>
      </c>
      <c r="AP40" s="541">
        <v>2</v>
      </c>
      <c r="AR40" s="544" t="s">
        <v>394</v>
      </c>
      <c r="AS40" s="541">
        <v>21</v>
      </c>
      <c r="AT40" s="541">
        <v>0</v>
      </c>
      <c r="AU40" s="541"/>
      <c r="AV40" s="541">
        <v>18</v>
      </c>
      <c r="AW40" s="541">
        <v>0</v>
      </c>
      <c r="AX40" s="541"/>
      <c r="AY40" s="541">
        <v>16</v>
      </c>
      <c r="AZ40" s="541">
        <v>0</v>
      </c>
      <c r="BA40" s="541"/>
      <c r="BB40" s="541">
        <v>21</v>
      </c>
      <c r="BC40" s="541">
        <v>1</v>
      </c>
      <c r="BD40" s="541"/>
      <c r="BE40" s="541">
        <v>20</v>
      </c>
      <c r="BF40" s="541">
        <v>0</v>
      </c>
      <c r="BH40" s="541">
        <v>32</v>
      </c>
      <c r="BI40" s="541">
        <v>0</v>
      </c>
      <c r="BK40" s="541">
        <v>27</v>
      </c>
      <c r="BL40" s="541">
        <v>2</v>
      </c>
    </row>
    <row r="41" spans="1:64" ht="12">
      <c r="A41" s="347" t="s">
        <v>312</v>
      </c>
      <c r="B41" s="216">
        <v>65</v>
      </c>
      <c r="C41" s="216">
        <v>6</v>
      </c>
      <c r="D41" s="221"/>
      <c r="E41" s="216">
        <v>58</v>
      </c>
      <c r="F41" s="216">
        <v>4</v>
      </c>
      <c r="G41" s="221"/>
      <c r="H41" s="216">
        <v>75</v>
      </c>
      <c r="I41" s="216">
        <v>6</v>
      </c>
      <c r="J41" s="221"/>
      <c r="K41" s="216">
        <v>53</v>
      </c>
      <c r="L41" s="216">
        <v>4</v>
      </c>
      <c r="M41" s="221"/>
      <c r="N41" s="216">
        <v>24</v>
      </c>
      <c r="O41" s="216">
        <v>2</v>
      </c>
      <c r="Q41" s="216">
        <v>57</v>
      </c>
      <c r="R41" s="216">
        <v>8</v>
      </c>
      <c r="T41" s="2">
        <v>46</v>
      </c>
      <c r="U41" s="2">
        <v>3</v>
      </c>
      <c r="W41" s="2">
        <v>19</v>
      </c>
      <c r="X41" s="2">
        <v>3</v>
      </c>
      <c r="Z41" s="2">
        <v>91</v>
      </c>
      <c r="AA41" s="2">
        <v>5</v>
      </c>
      <c r="AC41" s="2">
        <v>88</v>
      </c>
      <c r="AD41" s="2">
        <v>2</v>
      </c>
      <c r="AF41" s="2">
        <v>66</v>
      </c>
      <c r="AG41" s="2">
        <v>4</v>
      </c>
      <c r="AI41" s="2">
        <v>79</v>
      </c>
      <c r="AJ41" s="2">
        <v>6</v>
      </c>
      <c r="AL41" s="2">
        <v>76</v>
      </c>
      <c r="AM41" s="2">
        <v>3</v>
      </c>
      <c r="AO41" s="2">
        <v>66</v>
      </c>
      <c r="AP41" s="2">
        <v>6</v>
      </c>
      <c r="AR41" s="347" t="s">
        <v>312</v>
      </c>
      <c r="AS41" s="2">
        <v>68</v>
      </c>
      <c r="AT41" s="2">
        <v>2</v>
      </c>
      <c r="AV41" s="342">
        <v>47</v>
      </c>
      <c r="AW41" s="342">
        <v>2</v>
      </c>
      <c r="AX41" s="342"/>
      <c r="AY41" s="2">
        <v>51</v>
      </c>
      <c r="AZ41" s="2">
        <v>0</v>
      </c>
      <c r="BB41" s="2">
        <v>69</v>
      </c>
      <c r="BC41" s="2">
        <v>2</v>
      </c>
      <c r="BE41" s="2">
        <v>76</v>
      </c>
      <c r="BF41" s="2">
        <v>3</v>
      </c>
      <c r="BH41" s="2">
        <v>57</v>
      </c>
      <c r="BI41" s="2">
        <v>1</v>
      </c>
      <c r="BK41" s="2">
        <v>62</v>
      </c>
      <c r="BL41" s="2">
        <v>6</v>
      </c>
    </row>
    <row r="42" spans="1:64" ht="12">
      <c r="A42" s="544" t="s">
        <v>1039</v>
      </c>
      <c r="B42" s="539">
        <v>48</v>
      </c>
      <c r="C42" s="539">
        <v>11</v>
      </c>
      <c r="D42" s="540"/>
      <c r="E42" s="539">
        <v>40</v>
      </c>
      <c r="F42" s="539">
        <v>6</v>
      </c>
      <c r="G42" s="540"/>
      <c r="H42" s="539">
        <v>27</v>
      </c>
      <c r="I42" s="539">
        <v>8</v>
      </c>
      <c r="J42" s="540"/>
      <c r="K42" s="539">
        <v>31</v>
      </c>
      <c r="L42" s="539">
        <v>3</v>
      </c>
      <c r="M42" s="540"/>
      <c r="N42" s="539">
        <v>28</v>
      </c>
      <c r="O42" s="539">
        <v>5</v>
      </c>
      <c r="P42" s="541"/>
      <c r="Q42" s="539">
        <v>33</v>
      </c>
      <c r="R42" s="539">
        <v>6</v>
      </c>
      <c r="S42" s="541"/>
      <c r="T42" s="541">
        <v>27</v>
      </c>
      <c r="U42" s="541">
        <v>5</v>
      </c>
      <c r="V42" s="541"/>
      <c r="W42" s="541">
        <v>12</v>
      </c>
      <c r="X42" s="541">
        <v>1</v>
      </c>
      <c r="Y42" s="541"/>
      <c r="Z42" s="541">
        <v>64</v>
      </c>
      <c r="AA42" s="541">
        <v>4</v>
      </c>
      <c r="AB42" s="541"/>
      <c r="AC42" s="541">
        <v>73</v>
      </c>
      <c r="AD42" s="541">
        <v>3</v>
      </c>
      <c r="AE42" s="541"/>
      <c r="AF42" s="541">
        <v>73</v>
      </c>
      <c r="AG42" s="541">
        <v>3</v>
      </c>
      <c r="AH42" s="541"/>
      <c r="AI42" s="541">
        <v>52</v>
      </c>
      <c r="AJ42" s="541">
        <v>1</v>
      </c>
      <c r="AK42" s="541"/>
      <c r="AL42" s="541">
        <v>68</v>
      </c>
      <c r="AM42" s="541">
        <v>6</v>
      </c>
      <c r="AN42" s="541"/>
      <c r="AO42" s="541">
        <v>60</v>
      </c>
      <c r="AP42" s="541">
        <v>1</v>
      </c>
      <c r="AR42" s="544" t="s">
        <v>1039</v>
      </c>
      <c r="AS42" s="541">
        <v>55</v>
      </c>
      <c r="AT42" s="541">
        <v>2</v>
      </c>
      <c r="AU42" s="541"/>
      <c r="AV42" s="541">
        <v>55</v>
      </c>
      <c r="AW42" s="541">
        <v>0</v>
      </c>
      <c r="AX42" s="541"/>
      <c r="AY42" s="541">
        <v>60</v>
      </c>
      <c r="AZ42" s="541">
        <v>1</v>
      </c>
      <c r="BA42" s="541"/>
      <c r="BB42" s="541">
        <v>51</v>
      </c>
      <c r="BC42" s="541">
        <v>1</v>
      </c>
      <c r="BD42" s="541"/>
      <c r="BE42" s="541">
        <v>60</v>
      </c>
      <c r="BF42" s="541">
        <v>1</v>
      </c>
      <c r="BH42" s="541">
        <v>56</v>
      </c>
      <c r="BI42" s="541">
        <v>1</v>
      </c>
      <c r="BK42" s="541">
        <v>59</v>
      </c>
      <c r="BL42" s="541">
        <v>1</v>
      </c>
    </row>
    <row r="43" spans="1:64" ht="12">
      <c r="A43" s="371" t="s">
        <v>376</v>
      </c>
      <c r="B43" s="221">
        <v>94</v>
      </c>
      <c r="C43" s="216">
        <v>10</v>
      </c>
      <c r="D43" s="216"/>
      <c r="E43" s="216">
        <v>65</v>
      </c>
      <c r="F43" s="216">
        <v>13</v>
      </c>
      <c r="G43" s="216"/>
      <c r="H43" s="216">
        <v>60</v>
      </c>
      <c r="I43" s="216">
        <v>7</v>
      </c>
      <c r="J43" s="216"/>
      <c r="K43" s="216">
        <v>60</v>
      </c>
      <c r="L43" s="216">
        <v>5</v>
      </c>
      <c r="M43" s="216"/>
      <c r="N43" s="216">
        <v>47</v>
      </c>
      <c r="O43" s="216">
        <v>8</v>
      </c>
      <c r="Q43" s="216">
        <v>37</v>
      </c>
      <c r="R43" s="216">
        <v>5</v>
      </c>
      <c r="T43" s="2">
        <v>36</v>
      </c>
      <c r="U43" s="2">
        <v>5</v>
      </c>
      <c r="W43" s="2">
        <v>20</v>
      </c>
      <c r="X43" s="2">
        <v>10</v>
      </c>
      <c r="Z43" s="2">
        <v>93</v>
      </c>
      <c r="AA43" s="2">
        <v>7</v>
      </c>
      <c r="AC43" s="2">
        <v>67</v>
      </c>
      <c r="AD43" s="2">
        <v>2</v>
      </c>
      <c r="AF43" s="2">
        <v>71</v>
      </c>
      <c r="AG43" s="2">
        <v>1</v>
      </c>
      <c r="AI43" s="2">
        <v>70</v>
      </c>
      <c r="AJ43" s="2">
        <v>1</v>
      </c>
      <c r="AL43" s="2">
        <v>77</v>
      </c>
      <c r="AM43" s="2">
        <v>3</v>
      </c>
      <c r="AO43" s="2">
        <v>74</v>
      </c>
      <c r="AP43" s="2">
        <v>3</v>
      </c>
      <c r="AR43" s="371" t="s">
        <v>376</v>
      </c>
      <c r="AS43" s="2">
        <v>62</v>
      </c>
      <c r="AT43" s="2">
        <v>0</v>
      </c>
      <c r="AV43" s="342">
        <v>71</v>
      </c>
      <c r="AW43" s="342">
        <v>1</v>
      </c>
      <c r="AX43" s="342"/>
      <c r="AY43" s="2">
        <v>59</v>
      </c>
      <c r="AZ43" s="2">
        <v>3</v>
      </c>
      <c r="BB43" s="2">
        <v>66</v>
      </c>
      <c r="BC43" s="2">
        <v>1</v>
      </c>
      <c r="BE43" s="2">
        <v>82</v>
      </c>
      <c r="BF43" s="2">
        <v>0</v>
      </c>
      <c r="BH43" s="2">
        <v>71</v>
      </c>
      <c r="BI43" s="2">
        <v>1</v>
      </c>
      <c r="BK43" s="2">
        <v>88</v>
      </c>
      <c r="BL43" s="2">
        <v>0</v>
      </c>
    </row>
    <row r="44" spans="1:44" ht="12.75">
      <c r="A44" s="374"/>
      <c r="B44" s="216"/>
      <c r="C44" s="216"/>
      <c r="D44" s="170"/>
      <c r="E44" s="216"/>
      <c r="F44" s="216"/>
      <c r="G44" s="221"/>
      <c r="H44" s="216"/>
      <c r="I44" s="216"/>
      <c r="J44" s="221"/>
      <c r="K44" s="216"/>
      <c r="L44" s="216"/>
      <c r="M44" s="221"/>
      <c r="N44" s="216"/>
      <c r="O44" s="216"/>
      <c r="Q44" s="216"/>
      <c r="R44" s="216"/>
      <c r="AR44" s="374"/>
    </row>
    <row r="45" spans="1:64" s="376" customFormat="1" ht="18" customHeight="1">
      <c r="A45" s="532" t="s">
        <v>1104</v>
      </c>
      <c r="B45" s="533">
        <f>SUM(B16:B44)</f>
        <v>1360</v>
      </c>
      <c r="C45" s="533">
        <f>SUM(C16:C44)</f>
        <v>132</v>
      </c>
      <c r="D45" s="533"/>
      <c r="E45" s="533">
        <f>SUM(E7:E37)</f>
        <v>1942</v>
      </c>
      <c r="F45" s="533">
        <f>SUM(F7:F37)</f>
        <v>196</v>
      </c>
      <c r="G45" s="533"/>
      <c r="H45" s="533">
        <f aca="true" t="shared" si="0" ref="H45:X45">SUM(H7:H43)</f>
        <v>2174</v>
      </c>
      <c r="I45" s="533">
        <f t="shared" si="0"/>
        <v>230</v>
      </c>
      <c r="J45" s="533">
        <f t="shared" si="0"/>
        <v>0</v>
      </c>
      <c r="K45" s="533">
        <f t="shared" si="0"/>
        <v>1818</v>
      </c>
      <c r="L45" s="533">
        <f t="shared" si="0"/>
        <v>218</v>
      </c>
      <c r="M45" s="533">
        <f t="shared" si="0"/>
        <v>0</v>
      </c>
      <c r="N45" s="533">
        <f t="shared" si="0"/>
        <v>1320</v>
      </c>
      <c r="O45" s="533">
        <f t="shared" si="0"/>
        <v>194</v>
      </c>
      <c r="P45" s="533">
        <f t="shared" si="0"/>
        <v>0</v>
      </c>
      <c r="Q45" s="533">
        <f t="shared" si="0"/>
        <v>1262</v>
      </c>
      <c r="R45" s="533">
        <f t="shared" si="0"/>
        <v>178</v>
      </c>
      <c r="S45" s="533">
        <f t="shared" si="0"/>
        <v>0</v>
      </c>
      <c r="T45" s="533">
        <f t="shared" si="0"/>
        <v>1077</v>
      </c>
      <c r="U45" s="533">
        <f t="shared" si="0"/>
        <v>143</v>
      </c>
      <c r="V45" s="533">
        <f t="shared" si="0"/>
        <v>0</v>
      </c>
      <c r="W45" s="533">
        <f t="shared" si="0"/>
        <v>522</v>
      </c>
      <c r="X45" s="533">
        <f t="shared" si="0"/>
        <v>156</v>
      </c>
      <c r="Y45" s="533"/>
      <c r="Z45" s="533">
        <f>SUM(Z7:Z43)</f>
        <v>2457</v>
      </c>
      <c r="AA45" s="533">
        <f>SUM(AA7:AA43)</f>
        <v>131</v>
      </c>
      <c r="AB45" s="533"/>
      <c r="AC45" s="533">
        <f>SUM(AC7:AC43)</f>
        <v>2565</v>
      </c>
      <c r="AD45" s="533">
        <f>SUM(AD7:AD43)</f>
        <v>123</v>
      </c>
      <c r="AE45" s="533"/>
      <c r="AF45" s="533">
        <f>SUM(AF7:AF43)</f>
        <v>2411</v>
      </c>
      <c r="AG45" s="533">
        <f>SUM(AG7:AG43)</f>
        <v>91</v>
      </c>
      <c r="AH45" s="533"/>
      <c r="AI45" s="533">
        <f>SUM(AI7:AI43)</f>
        <v>2407</v>
      </c>
      <c r="AJ45" s="533">
        <f>SUM(AJ7:AJ43)</f>
        <v>99</v>
      </c>
      <c r="AK45" s="533"/>
      <c r="AL45" s="533">
        <f>SUM(AL7:AL43)</f>
        <v>2548</v>
      </c>
      <c r="AM45" s="533">
        <f>SUM(AM7:AM43)</f>
        <v>103</v>
      </c>
      <c r="AN45" s="533"/>
      <c r="AO45" s="533">
        <f>SUM(AO7:AO43)</f>
        <v>2386</v>
      </c>
      <c r="AP45" s="533">
        <f>SUM(AP7:AP43)</f>
        <v>70</v>
      </c>
      <c r="AQ45" s="375"/>
      <c r="AR45" s="532" t="s">
        <v>1104</v>
      </c>
      <c r="AS45" s="533">
        <f>SUM(AS7:AS43)</f>
        <v>2463</v>
      </c>
      <c r="AT45" s="533">
        <f>SUM(AT7:AT43)</f>
        <v>85</v>
      </c>
      <c r="AU45" s="533"/>
      <c r="AV45" s="533">
        <f>SUM(AV7:AV43)</f>
        <v>2360</v>
      </c>
      <c r="AW45" s="533">
        <f>SUM(AW7:AW43)</f>
        <v>57</v>
      </c>
      <c r="AX45" s="533"/>
      <c r="AY45" s="533">
        <f>SUM(AY7:AY43)</f>
        <v>2196</v>
      </c>
      <c r="AZ45" s="533">
        <f>SUM(AZ7:AZ43)</f>
        <v>64</v>
      </c>
      <c r="BA45" s="533"/>
      <c r="BB45" s="533">
        <f>SUM(BB7:BB43)</f>
        <v>2317</v>
      </c>
      <c r="BC45" s="533">
        <f>SUM(BC7:BC43)</f>
        <v>52</v>
      </c>
      <c r="BD45" s="533"/>
      <c r="BE45" s="533">
        <f>SUM(BE7:BE43)</f>
        <v>2763</v>
      </c>
      <c r="BF45" s="533">
        <f>SUM(BF7:BF43)</f>
        <v>49</v>
      </c>
      <c r="BH45" s="533">
        <f>SUM(BH7:BH43)</f>
        <v>2610</v>
      </c>
      <c r="BI45" s="533">
        <f>SUM(BI7:BI43)</f>
        <v>61</v>
      </c>
      <c r="BK45" s="533">
        <f>SUM(BK7:BK43)</f>
        <v>2790</v>
      </c>
      <c r="BL45" s="533">
        <f>SUM(BL7:BL43)</f>
        <v>70</v>
      </c>
    </row>
    <row r="47" spans="1:44" ht="12.75">
      <c r="A47" s="507" t="s">
        <v>1146</v>
      </c>
      <c r="X47" s="178"/>
      <c r="AR47" s="507" t="s">
        <v>1151</v>
      </c>
    </row>
    <row r="50" ht="12.75">
      <c r="AG50" s="178"/>
    </row>
  </sheetData>
  <sheetProtection/>
  <mergeCells count="21"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  <mergeCell ref="AF4:AG4"/>
    <mergeCell ref="AI4:AJ4"/>
    <mergeCell ref="BE4:BF4"/>
    <mergeCell ref="BH4:BI4"/>
    <mergeCell ref="BK4:BL4"/>
    <mergeCell ref="AL4:AM4"/>
    <mergeCell ref="AO4:AP4"/>
    <mergeCell ref="AS4:AT4"/>
    <mergeCell ref="AV4:AW4"/>
    <mergeCell ref="AY4:AZ4"/>
    <mergeCell ref="BB4:BC4"/>
  </mergeCells>
  <printOptions horizontalCentered="1"/>
  <pageMargins left="0.1968503937007874" right="0.1968503937007874" top="0.5511811023622047" bottom="0" header="0" footer="0"/>
  <pageSetup horizontalDpi="600" verticalDpi="600" orientation="landscape" paperSize="9" scale="90" r:id="rId1"/>
  <colBreaks count="1" manualBreakCount="1">
    <brk id="43" max="4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pane ySplit="5" topLeftCell="A6" activePane="bottomLeft" state="frozen"/>
      <selection pane="topLeft" activeCell="G19" sqref="G19"/>
      <selection pane="bottomLeft" activeCell="G19" sqref="G19"/>
    </sheetView>
  </sheetViews>
  <sheetFormatPr defaultColWidth="11.421875" defaultRowHeight="12.75"/>
  <cols>
    <col min="1" max="1" width="19.7109375" style="0" customWidth="1"/>
    <col min="2" max="7" width="10.7109375" style="37" customWidth="1"/>
  </cols>
  <sheetData>
    <row r="1" spans="1:7" s="35" customFormat="1" ht="15">
      <c r="A1" s="268" t="s">
        <v>1304</v>
      </c>
      <c r="B1" s="233"/>
      <c r="C1" s="233"/>
      <c r="D1" s="233"/>
      <c r="E1" s="233"/>
      <c r="F1" s="233"/>
      <c r="G1" s="233"/>
    </row>
    <row r="2" spans="1:7" s="35" customFormat="1" ht="12.75">
      <c r="A2" s="234"/>
      <c r="B2" s="233"/>
      <c r="C2" s="233"/>
      <c r="D2" s="233"/>
      <c r="E2" s="233"/>
      <c r="F2" s="233"/>
      <c r="G2" s="233"/>
    </row>
    <row r="3" spans="1:7" s="35" customFormat="1" ht="12.75">
      <c r="A3" s="233" t="s">
        <v>1090</v>
      </c>
      <c r="B3" s="233"/>
      <c r="C3" s="233"/>
      <c r="D3" s="233"/>
      <c r="E3" s="233"/>
      <c r="F3" s="233"/>
      <c r="G3" s="233"/>
    </row>
    <row r="4" spans="1:7" ht="12.75">
      <c r="A4" s="619"/>
      <c r="B4" s="619"/>
      <c r="C4" s="619"/>
      <c r="D4" s="620" t="s">
        <v>977</v>
      </c>
      <c r="E4" s="554" t="s">
        <v>1010</v>
      </c>
      <c r="F4" s="554" t="s">
        <v>1140</v>
      </c>
      <c r="G4" s="619"/>
    </row>
    <row r="5" spans="1:7" s="36" customFormat="1" ht="12.75">
      <c r="A5" s="618" t="s">
        <v>1011</v>
      </c>
      <c r="B5" s="460" t="s">
        <v>1099</v>
      </c>
      <c r="C5" s="460" t="s">
        <v>1100</v>
      </c>
      <c r="D5" s="460" t="s">
        <v>1012</v>
      </c>
      <c r="E5" s="555" t="s">
        <v>1102</v>
      </c>
      <c r="F5" s="555" t="s">
        <v>967</v>
      </c>
      <c r="G5" s="460" t="s">
        <v>1104</v>
      </c>
    </row>
    <row r="6" spans="1:7" s="36" customFormat="1" ht="12.75">
      <c r="A6" s="235"/>
      <c r="B6" s="241"/>
      <c r="C6" s="241"/>
      <c r="D6" s="241"/>
      <c r="E6" s="240"/>
      <c r="F6" s="241"/>
      <c r="G6" s="242"/>
    </row>
    <row r="7" spans="1:7" ht="12.75">
      <c r="A7" s="173" t="s">
        <v>1013</v>
      </c>
      <c r="B7" s="326">
        <v>25582</v>
      </c>
      <c r="C7" s="326">
        <v>4028</v>
      </c>
      <c r="D7" s="326">
        <v>6543</v>
      </c>
      <c r="E7" s="326">
        <v>319</v>
      </c>
      <c r="F7" s="327">
        <v>1450</v>
      </c>
      <c r="G7" s="237">
        <f>SUM(B7:F7)</f>
        <v>37922</v>
      </c>
    </row>
    <row r="8" spans="1:7" ht="12.75">
      <c r="A8" s="624" t="s">
        <v>1014</v>
      </c>
      <c r="B8" s="476">
        <v>79857</v>
      </c>
      <c r="C8" s="476">
        <v>16658</v>
      </c>
      <c r="D8" s="476">
        <v>22916</v>
      </c>
      <c r="E8" s="476">
        <v>964</v>
      </c>
      <c r="F8" s="540">
        <v>4029</v>
      </c>
      <c r="G8" s="469">
        <f aca="true" t="shared" si="0" ref="G8:G54">SUM(B8:F8)</f>
        <v>124424</v>
      </c>
    </row>
    <row r="9" spans="1:7" ht="12.75">
      <c r="A9" s="173" t="s">
        <v>1015</v>
      </c>
      <c r="B9" s="326">
        <v>61151</v>
      </c>
      <c r="C9" s="326">
        <v>10186</v>
      </c>
      <c r="D9" s="326">
        <v>14540</v>
      </c>
      <c r="E9" s="326">
        <v>581</v>
      </c>
      <c r="F9" s="327">
        <v>4808</v>
      </c>
      <c r="G9" s="237">
        <f t="shared" si="0"/>
        <v>91266</v>
      </c>
    </row>
    <row r="10" spans="1:7" ht="12.75">
      <c r="A10" s="624" t="s">
        <v>1016</v>
      </c>
      <c r="B10" s="476">
        <v>11758</v>
      </c>
      <c r="C10" s="476">
        <v>1676</v>
      </c>
      <c r="D10" s="476">
        <v>3719</v>
      </c>
      <c r="E10" s="540">
        <v>124</v>
      </c>
      <c r="F10" s="540">
        <v>858</v>
      </c>
      <c r="G10" s="469">
        <f t="shared" si="0"/>
        <v>18135</v>
      </c>
    </row>
    <row r="11" spans="1:7" ht="12.75">
      <c r="A11" s="173" t="s">
        <v>1017</v>
      </c>
      <c r="B11" s="326">
        <v>1917</v>
      </c>
      <c r="C11" s="327">
        <v>254</v>
      </c>
      <c r="D11" s="327">
        <v>806</v>
      </c>
      <c r="E11" s="327">
        <v>38</v>
      </c>
      <c r="F11" s="327">
        <v>226</v>
      </c>
      <c r="G11" s="237">
        <f t="shared" si="0"/>
        <v>3241</v>
      </c>
    </row>
    <row r="12" spans="1:7" ht="12.75">
      <c r="A12" s="173"/>
      <c r="B12" s="327"/>
      <c r="C12" s="327"/>
      <c r="D12" s="327"/>
      <c r="E12" s="327"/>
      <c r="F12" s="327"/>
      <c r="G12" s="237"/>
    </row>
    <row r="13" spans="1:7" ht="12.75">
      <c r="A13" s="624" t="s">
        <v>1018</v>
      </c>
      <c r="B13" s="476">
        <v>65222</v>
      </c>
      <c r="C13" s="476">
        <v>11512</v>
      </c>
      <c r="D13" s="476">
        <v>15929</v>
      </c>
      <c r="E13" s="476">
        <v>551</v>
      </c>
      <c r="F13" s="540">
        <v>3780</v>
      </c>
      <c r="G13" s="469">
        <f t="shared" si="0"/>
        <v>96994</v>
      </c>
    </row>
    <row r="14" spans="1:7" ht="12.75">
      <c r="A14" s="269" t="s">
        <v>1141</v>
      </c>
      <c r="B14" s="326">
        <v>5415</v>
      </c>
      <c r="C14" s="326">
        <v>1043</v>
      </c>
      <c r="D14" s="326">
        <v>2310</v>
      </c>
      <c r="E14" s="326">
        <v>52</v>
      </c>
      <c r="F14" s="327">
        <v>471</v>
      </c>
      <c r="G14" s="237">
        <f t="shared" si="0"/>
        <v>9291</v>
      </c>
    </row>
    <row r="15" spans="1:7" ht="12.75">
      <c r="A15" s="624" t="s">
        <v>1019</v>
      </c>
      <c r="B15" s="476">
        <v>146756</v>
      </c>
      <c r="C15" s="476">
        <v>21211</v>
      </c>
      <c r="D15" s="476">
        <v>41403</v>
      </c>
      <c r="E15" s="476">
        <v>1863</v>
      </c>
      <c r="F15" s="540">
        <v>13407</v>
      </c>
      <c r="G15" s="469">
        <f t="shared" si="0"/>
        <v>224640</v>
      </c>
    </row>
    <row r="16" spans="1:8" ht="12.75">
      <c r="A16" s="173" t="s">
        <v>1020</v>
      </c>
      <c r="B16" s="326">
        <v>98292</v>
      </c>
      <c r="C16" s="326">
        <v>19385</v>
      </c>
      <c r="D16" s="326">
        <v>22236</v>
      </c>
      <c r="E16" s="326">
        <v>823</v>
      </c>
      <c r="F16" s="327">
        <v>3854</v>
      </c>
      <c r="G16" s="237">
        <f t="shared" si="0"/>
        <v>144590</v>
      </c>
      <c r="H16" s="236"/>
    </row>
    <row r="17" spans="1:7" ht="12.75">
      <c r="A17" s="624" t="s">
        <v>343</v>
      </c>
      <c r="B17" s="476">
        <v>39832</v>
      </c>
      <c r="C17" s="476">
        <v>6464</v>
      </c>
      <c r="D17" s="476">
        <v>14518</v>
      </c>
      <c r="E17" s="476">
        <v>374</v>
      </c>
      <c r="F17" s="540">
        <v>2414</v>
      </c>
      <c r="G17" s="469">
        <f t="shared" si="0"/>
        <v>63602</v>
      </c>
    </row>
    <row r="18" spans="1:7" ht="12.75">
      <c r="A18" s="173" t="s">
        <v>344</v>
      </c>
      <c r="B18" s="326">
        <v>77539</v>
      </c>
      <c r="C18" s="326">
        <v>19308</v>
      </c>
      <c r="D18" s="326">
        <v>22169</v>
      </c>
      <c r="E18" s="326">
        <v>272</v>
      </c>
      <c r="F18" s="327">
        <v>2977</v>
      </c>
      <c r="G18" s="237">
        <f t="shared" si="0"/>
        <v>122265</v>
      </c>
    </row>
    <row r="19" spans="1:7" ht="12.75">
      <c r="A19" s="173"/>
      <c r="B19" s="327"/>
      <c r="C19" s="327"/>
      <c r="D19" s="327"/>
      <c r="E19" s="327"/>
      <c r="F19" s="327"/>
      <c r="G19" s="237"/>
    </row>
    <row r="20" spans="1:7" ht="12.75">
      <c r="A20" s="624" t="s">
        <v>345</v>
      </c>
      <c r="B20" s="476">
        <v>375742</v>
      </c>
      <c r="C20" s="476">
        <v>81952</v>
      </c>
      <c r="D20" s="476">
        <v>65128</v>
      </c>
      <c r="E20" s="476">
        <v>2767</v>
      </c>
      <c r="F20" s="476">
        <v>15557</v>
      </c>
      <c r="G20" s="469">
        <f t="shared" si="0"/>
        <v>541146</v>
      </c>
    </row>
    <row r="21" spans="1:7" ht="12.75">
      <c r="A21" s="173" t="s">
        <v>346</v>
      </c>
      <c r="B21" s="326">
        <v>51860</v>
      </c>
      <c r="C21" s="326">
        <v>8724</v>
      </c>
      <c r="D21" s="326">
        <v>9850</v>
      </c>
      <c r="E21" s="326">
        <v>276</v>
      </c>
      <c r="F21" s="327">
        <v>1830</v>
      </c>
      <c r="G21" s="237">
        <f t="shared" si="0"/>
        <v>72540</v>
      </c>
    </row>
    <row r="22" spans="1:7" ht="12.75">
      <c r="A22" s="624" t="s">
        <v>347</v>
      </c>
      <c r="B22" s="476">
        <v>784699</v>
      </c>
      <c r="C22" s="476">
        <v>300660</v>
      </c>
      <c r="D22" s="476">
        <v>135594</v>
      </c>
      <c r="E22" s="476">
        <v>3408</v>
      </c>
      <c r="F22" s="476">
        <v>24110</v>
      </c>
      <c r="G22" s="469">
        <f t="shared" si="0"/>
        <v>1248471</v>
      </c>
    </row>
    <row r="23" spans="1:7" ht="12.75">
      <c r="A23" s="269" t="s">
        <v>933</v>
      </c>
      <c r="B23" s="326">
        <v>22401</v>
      </c>
      <c r="C23" s="326">
        <v>3812</v>
      </c>
      <c r="D23" s="326">
        <v>7525</v>
      </c>
      <c r="E23" s="326">
        <v>211</v>
      </c>
      <c r="F23" s="327">
        <v>1654</v>
      </c>
      <c r="G23" s="237">
        <f t="shared" si="0"/>
        <v>35603</v>
      </c>
    </row>
    <row r="24" spans="1:7" ht="12.75">
      <c r="A24" s="624" t="s">
        <v>934</v>
      </c>
      <c r="B24" s="476">
        <v>9708</v>
      </c>
      <c r="C24" s="476">
        <v>2168</v>
      </c>
      <c r="D24" s="476">
        <v>4364</v>
      </c>
      <c r="E24" s="540">
        <v>55</v>
      </c>
      <c r="F24" s="540">
        <v>1019</v>
      </c>
      <c r="G24" s="469">
        <f t="shared" si="0"/>
        <v>17314</v>
      </c>
    </row>
    <row r="25" spans="1:7" ht="12.75">
      <c r="A25" s="173"/>
      <c r="B25" s="327"/>
      <c r="C25" s="327"/>
      <c r="D25" s="327"/>
      <c r="E25" s="327"/>
      <c r="F25" s="327"/>
      <c r="G25" s="237"/>
    </row>
    <row r="26" spans="1:7" ht="12.75">
      <c r="A26" s="173" t="s">
        <v>935</v>
      </c>
      <c r="B26" s="236">
        <v>11609</v>
      </c>
      <c r="C26" s="236">
        <v>1730</v>
      </c>
      <c r="D26" s="236">
        <v>3518</v>
      </c>
      <c r="E26" s="333">
        <v>90</v>
      </c>
      <c r="F26" s="333">
        <v>892</v>
      </c>
      <c r="G26" s="237">
        <f t="shared" si="0"/>
        <v>17839</v>
      </c>
    </row>
    <row r="27" spans="1:7" ht="12.75">
      <c r="A27" s="624" t="s">
        <v>936</v>
      </c>
      <c r="B27" s="473">
        <v>66867</v>
      </c>
      <c r="C27" s="473">
        <v>20252</v>
      </c>
      <c r="D27" s="473">
        <v>11788</v>
      </c>
      <c r="E27" s="473">
        <v>378</v>
      </c>
      <c r="F27" s="569">
        <v>1862</v>
      </c>
      <c r="G27" s="469">
        <f t="shared" si="0"/>
        <v>101147</v>
      </c>
    </row>
    <row r="28" spans="1:7" ht="12.75">
      <c r="A28" s="173" t="s">
        <v>937</v>
      </c>
      <c r="B28" s="236">
        <v>11208</v>
      </c>
      <c r="C28" s="236">
        <v>1489</v>
      </c>
      <c r="D28" s="236">
        <v>3586</v>
      </c>
      <c r="E28" s="333">
        <v>111</v>
      </c>
      <c r="F28" s="333">
        <v>853</v>
      </c>
      <c r="G28" s="237">
        <f>SUM(B28:F28)</f>
        <v>17247</v>
      </c>
    </row>
    <row r="29" spans="1:7" ht="12.75">
      <c r="A29" s="624" t="s">
        <v>938</v>
      </c>
      <c r="B29" s="473">
        <v>30994</v>
      </c>
      <c r="C29" s="473">
        <v>5735</v>
      </c>
      <c r="D29" s="473">
        <v>9225</v>
      </c>
      <c r="E29" s="473">
        <v>331</v>
      </c>
      <c r="F29" s="569">
        <v>1720</v>
      </c>
      <c r="G29" s="469">
        <f t="shared" si="0"/>
        <v>48005</v>
      </c>
    </row>
    <row r="30" spans="1:7" ht="12.75">
      <c r="A30" s="173" t="s">
        <v>939</v>
      </c>
      <c r="B30" s="236">
        <v>95930</v>
      </c>
      <c r="C30" s="236">
        <v>20548</v>
      </c>
      <c r="D30" s="236">
        <v>23989</v>
      </c>
      <c r="E30" s="236">
        <v>748</v>
      </c>
      <c r="F30" s="333">
        <v>4243</v>
      </c>
      <c r="G30" s="237">
        <f t="shared" si="0"/>
        <v>145458</v>
      </c>
    </row>
    <row r="31" spans="1:7" ht="12.75">
      <c r="A31" s="173"/>
      <c r="B31" s="330"/>
      <c r="C31" s="330"/>
      <c r="D31" s="330"/>
      <c r="E31" s="330"/>
      <c r="F31" s="330"/>
      <c r="G31" s="331"/>
    </row>
    <row r="32" spans="1:7" ht="12.75">
      <c r="A32" s="624" t="s">
        <v>940</v>
      </c>
      <c r="B32" s="473">
        <v>210057</v>
      </c>
      <c r="C32" s="473">
        <v>55183</v>
      </c>
      <c r="D32" s="473">
        <v>40415</v>
      </c>
      <c r="E32" s="473">
        <v>673</v>
      </c>
      <c r="F32" s="569">
        <v>6549</v>
      </c>
      <c r="G32" s="469">
        <f t="shared" si="0"/>
        <v>312877</v>
      </c>
    </row>
    <row r="33" spans="1:7" ht="12.75">
      <c r="A33" s="269" t="s">
        <v>1110</v>
      </c>
      <c r="B33" s="236">
        <v>7023</v>
      </c>
      <c r="C33" s="236">
        <v>1441</v>
      </c>
      <c r="D33" s="236">
        <v>2388</v>
      </c>
      <c r="E33" s="236">
        <v>60</v>
      </c>
      <c r="F33" s="333">
        <v>516</v>
      </c>
      <c r="G33" s="237">
        <f t="shared" si="0"/>
        <v>11428</v>
      </c>
    </row>
    <row r="34" spans="1:7" ht="12.75">
      <c r="A34" s="624" t="s">
        <v>941</v>
      </c>
      <c r="B34" s="473">
        <v>34819</v>
      </c>
      <c r="C34" s="473">
        <v>4297</v>
      </c>
      <c r="D34" s="473">
        <v>11985</v>
      </c>
      <c r="E34" s="473">
        <v>399</v>
      </c>
      <c r="F34" s="569">
        <v>1921</v>
      </c>
      <c r="G34" s="469">
        <f t="shared" si="0"/>
        <v>53421</v>
      </c>
    </row>
    <row r="35" spans="1:7" ht="12.75">
      <c r="A35" s="173" t="s">
        <v>942</v>
      </c>
      <c r="B35" s="236">
        <v>21814</v>
      </c>
      <c r="C35" s="236">
        <v>2727</v>
      </c>
      <c r="D35" s="236">
        <v>6468</v>
      </c>
      <c r="E35" s="236">
        <v>671</v>
      </c>
      <c r="F35" s="333">
        <v>2155</v>
      </c>
      <c r="G35" s="237">
        <f t="shared" si="0"/>
        <v>33835</v>
      </c>
    </row>
    <row r="36" spans="1:7" ht="12.75">
      <c r="A36" s="624" t="s">
        <v>943</v>
      </c>
      <c r="B36" s="473">
        <v>85252</v>
      </c>
      <c r="C36" s="473">
        <v>13667</v>
      </c>
      <c r="D36" s="473">
        <v>23075</v>
      </c>
      <c r="E36" s="473">
        <v>790</v>
      </c>
      <c r="F36" s="569">
        <v>5600</v>
      </c>
      <c r="G36" s="469">
        <f t="shared" si="0"/>
        <v>128384</v>
      </c>
    </row>
    <row r="37" spans="1:7" ht="12.75">
      <c r="A37" s="173" t="s">
        <v>944</v>
      </c>
      <c r="B37" s="236">
        <v>6767</v>
      </c>
      <c r="C37" s="333">
        <v>850</v>
      </c>
      <c r="D37" s="236">
        <v>2689</v>
      </c>
      <c r="E37" s="333">
        <v>91</v>
      </c>
      <c r="F37" s="333">
        <v>662</v>
      </c>
      <c r="G37" s="237">
        <f t="shared" si="0"/>
        <v>11059</v>
      </c>
    </row>
    <row r="38" spans="1:7" ht="12.75">
      <c r="A38" s="173"/>
      <c r="B38" s="330"/>
      <c r="C38" s="330"/>
      <c r="D38" s="330"/>
      <c r="E38" s="330"/>
      <c r="F38" s="330"/>
      <c r="G38" s="331"/>
    </row>
    <row r="39" spans="1:7" ht="12.75">
      <c r="A39" s="624" t="s">
        <v>945</v>
      </c>
      <c r="B39" s="473">
        <v>3717</v>
      </c>
      <c r="C39" s="569">
        <v>605</v>
      </c>
      <c r="D39" s="473">
        <v>1884</v>
      </c>
      <c r="E39" s="569">
        <v>29</v>
      </c>
      <c r="F39" s="569">
        <v>528</v>
      </c>
      <c r="G39" s="469">
        <f t="shared" si="0"/>
        <v>6763</v>
      </c>
    </row>
    <row r="40" spans="1:7" ht="12.75">
      <c r="A40" s="173" t="s">
        <v>946</v>
      </c>
      <c r="B40" s="236">
        <v>21430</v>
      </c>
      <c r="C40" s="236">
        <v>2586</v>
      </c>
      <c r="D40" s="236">
        <v>5286</v>
      </c>
      <c r="E40" s="236">
        <v>526</v>
      </c>
      <c r="F40" s="333">
        <v>1729</v>
      </c>
      <c r="G40" s="237">
        <f t="shared" si="0"/>
        <v>31557</v>
      </c>
    </row>
    <row r="41" spans="1:7" ht="12.75">
      <c r="A41" s="624" t="s">
        <v>947</v>
      </c>
      <c r="B41" s="473">
        <v>17280</v>
      </c>
      <c r="C41" s="473">
        <v>3211</v>
      </c>
      <c r="D41" s="473">
        <v>5008</v>
      </c>
      <c r="E41" s="569">
        <v>209</v>
      </c>
      <c r="F41" s="569">
        <v>1049</v>
      </c>
      <c r="G41" s="469">
        <f t="shared" si="0"/>
        <v>26757</v>
      </c>
    </row>
    <row r="42" spans="1:7" ht="12.75">
      <c r="A42" s="173" t="s">
        <v>948</v>
      </c>
      <c r="B42" s="236">
        <v>5376</v>
      </c>
      <c r="C42" s="236">
        <v>1126</v>
      </c>
      <c r="D42" s="236">
        <v>2238</v>
      </c>
      <c r="E42" s="333">
        <v>15</v>
      </c>
      <c r="F42" s="333">
        <v>359</v>
      </c>
      <c r="G42" s="237">
        <f t="shared" si="0"/>
        <v>9114</v>
      </c>
    </row>
    <row r="43" spans="1:7" ht="12.75">
      <c r="A43" s="624" t="s">
        <v>949</v>
      </c>
      <c r="B43" s="473">
        <v>12482</v>
      </c>
      <c r="C43" s="473">
        <v>2286</v>
      </c>
      <c r="D43" s="473">
        <v>4126</v>
      </c>
      <c r="E43" s="569">
        <v>79</v>
      </c>
      <c r="F43" s="569">
        <v>841</v>
      </c>
      <c r="G43" s="469">
        <f t="shared" si="0"/>
        <v>19814</v>
      </c>
    </row>
    <row r="44" spans="1:7" ht="12.75">
      <c r="A44" s="173"/>
      <c r="B44" s="330"/>
      <c r="C44" s="330"/>
      <c r="D44" s="330"/>
      <c r="E44" s="330"/>
      <c r="F44" s="330"/>
      <c r="G44" s="331"/>
    </row>
    <row r="45" spans="1:7" ht="12.75">
      <c r="A45" s="173" t="s">
        <v>958</v>
      </c>
      <c r="B45" s="236">
        <v>13855</v>
      </c>
      <c r="C45" s="236">
        <v>2543</v>
      </c>
      <c r="D45" s="236">
        <v>4618</v>
      </c>
      <c r="E45" s="333">
        <v>95</v>
      </c>
      <c r="F45" s="333">
        <v>954</v>
      </c>
      <c r="G45" s="237">
        <f t="shared" si="0"/>
        <v>22065</v>
      </c>
    </row>
    <row r="46" spans="1:7" ht="12.75">
      <c r="A46" s="624" t="s">
        <v>959</v>
      </c>
      <c r="B46" s="473">
        <v>13075</v>
      </c>
      <c r="C46" s="473">
        <v>1528</v>
      </c>
      <c r="D46" s="473">
        <v>3627</v>
      </c>
      <c r="E46" s="473">
        <v>320</v>
      </c>
      <c r="F46" s="569">
        <v>1089</v>
      </c>
      <c r="G46" s="469">
        <f t="shared" si="0"/>
        <v>19639</v>
      </c>
    </row>
    <row r="47" spans="1:7" s="40" customFormat="1" ht="12.75">
      <c r="A47" s="173" t="s">
        <v>960</v>
      </c>
      <c r="B47" s="236">
        <v>101364</v>
      </c>
      <c r="C47" s="236">
        <v>14408</v>
      </c>
      <c r="D47" s="236">
        <v>24544</v>
      </c>
      <c r="E47" s="236">
        <v>2288</v>
      </c>
      <c r="F47" s="236">
        <v>7702</v>
      </c>
      <c r="G47" s="237">
        <f t="shared" si="0"/>
        <v>150306</v>
      </c>
    </row>
    <row r="48" spans="1:7" ht="12.75">
      <c r="A48" s="624" t="s">
        <v>961</v>
      </c>
      <c r="B48" s="473">
        <v>89010</v>
      </c>
      <c r="C48" s="473">
        <v>23022</v>
      </c>
      <c r="D48" s="473">
        <v>22151</v>
      </c>
      <c r="E48" s="473">
        <v>851</v>
      </c>
      <c r="F48" s="569">
        <v>4613</v>
      </c>
      <c r="G48" s="469">
        <f t="shared" si="0"/>
        <v>139647</v>
      </c>
    </row>
    <row r="49" spans="1:8" ht="12.75">
      <c r="A49" s="173" t="s">
        <v>962</v>
      </c>
      <c r="B49" s="236">
        <v>7856</v>
      </c>
      <c r="C49" s="236">
        <v>1260</v>
      </c>
      <c r="D49" s="236">
        <v>2934</v>
      </c>
      <c r="E49" s="333">
        <v>148</v>
      </c>
      <c r="F49" s="333">
        <v>808</v>
      </c>
      <c r="G49" s="237">
        <f t="shared" si="0"/>
        <v>13006</v>
      </c>
      <c r="H49" s="80"/>
    </row>
    <row r="50" spans="1:8" ht="12.75">
      <c r="A50" s="173"/>
      <c r="B50" s="333"/>
      <c r="C50" s="333"/>
      <c r="D50" s="333"/>
      <c r="E50" s="333"/>
      <c r="F50" s="333"/>
      <c r="G50" s="237"/>
      <c r="H50" s="80"/>
    </row>
    <row r="51" spans="1:8" ht="12.75">
      <c r="A51" s="173" t="s">
        <v>963</v>
      </c>
      <c r="B51" s="236">
        <v>124422</v>
      </c>
      <c r="C51" s="236">
        <v>24274</v>
      </c>
      <c r="D51" s="236">
        <v>22583</v>
      </c>
      <c r="E51" s="236">
        <v>1148</v>
      </c>
      <c r="F51" s="236">
        <v>5403</v>
      </c>
      <c r="G51" s="237">
        <f t="shared" si="0"/>
        <v>177830</v>
      </c>
      <c r="H51" s="80"/>
    </row>
    <row r="52" spans="1:8" ht="12.75">
      <c r="A52" s="624" t="s">
        <v>964</v>
      </c>
      <c r="B52" s="473">
        <v>5722</v>
      </c>
      <c r="C52" s="569">
        <v>700</v>
      </c>
      <c r="D52" s="473">
        <v>2692</v>
      </c>
      <c r="E52" s="569">
        <v>44</v>
      </c>
      <c r="F52" s="569">
        <v>505</v>
      </c>
      <c r="G52" s="469">
        <f>SUM(B52:F52)</f>
        <v>9663</v>
      </c>
      <c r="H52" s="80"/>
    </row>
    <row r="53" spans="1:8" ht="12.75">
      <c r="A53" s="173" t="s">
        <v>965</v>
      </c>
      <c r="B53" s="236">
        <v>20171</v>
      </c>
      <c r="C53" s="236">
        <v>2449</v>
      </c>
      <c r="D53" s="236">
        <v>5505</v>
      </c>
      <c r="E53" s="236">
        <v>335</v>
      </c>
      <c r="F53" s="333">
        <v>1266</v>
      </c>
      <c r="G53" s="237">
        <f t="shared" si="0"/>
        <v>29726</v>
      </c>
      <c r="H53" s="80"/>
    </row>
    <row r="54" spans="1:8" ht="12.75">
      <c r="A54" s="624" t="s">
        <v>332</v>
      </c>
      <c r="B54" s="473">
        <v>439970</v>
      </c>
      <c r="C54" s="473">
        <v>81428</v>
      </c>
      <c r="D54" s="473">
        <v>81665</v>
      </c>
      <c r="E54" s="473">
        <v>2876</v>
      </c>
      <c r="F54" s="473">
        <v>17890</v>
      </c>
      <c r="G54" s="469">
        <f t="shared" si="0"/>
        <v>623829</v>
      </c>
      <c r="H54" s="80"/>
    </row>
    <row r="55" spans="1:8" ht="12.75">
      <c r="A55" s="173" t="s">
        <v>333</v>
      </c>
      <c r="B55" s="236">
        <v>211548</v>
      </c>
      <c r="C55" s="236">
        <v>36287</v>
      </c>
      <c r="D55" s="236">
        <v>43922</v>
      </c>
      <c r="E55" s="236">
        <v>2011</v>
      </c>
      <c r="F55" s="236">
        <v>9651</v>
      </c>
      <c r="G55" s="237">
        <f>SUM(B55:F55)</f>
        <v>303419</v>
      </c>
      <c r="H55" s="80"/>
    </row>
    <row r="56" spans="1:8" ht="12.75">
      <c r="A56" s="624" t="s">
        <v>1094</v>
      </c>
      <c r="B56" s="624">
        <v>180</v>
      </c>
      <c r="C56" s="624">
        <v>31</v>
      </c>
      <c r="D56" s="624">
        <v>62</v>
      </c>
      <c r="E56" s="567"/>
      <c r="F56" s="624">
        <v>8</v>
      </c>
      <c r="G56" s="469">
        <f>SUM(B56:F56)</f>
        <v>281</v>
      </c>
      <c r="H56" s="80"/>
    </row>
    <row r="57" spans="1:7" ht="12.75">
      <c r="A57" s="173"/>
      <c r="B57" s="331"/>
      <c r="C57" s="331"/>
      <c r="D57" s="331"/>
      <c r="E57" s="332"/>
      <c r="F57" s="331"/>
      <c r="G57" s="331"/>
    </row>
    <row r="58" spans="1:9" s="160" customFormat="1" ht="18" customHeight="1">
      <c r="A58" s="621" t="s">
        <v>1095</v>
      </c>
      <c r="B58" s="622">
        <f>SUM(B7:B56)</f>
        <v>3527529</v>
      </c>
      <c r="C58" s="622">
        <f>SUM(C7:C56)</f>
        <v>834704</v>
      </c>
      <c r="D58" s="622">
        <f>SUM(D7:D56)</f>
        <v>761521</v>
      </c>
      <c r="E58" s="622">
        <f>SUM(E7:E56)</f>
        <v>27994</v>
      </c>
      <c r="F58" s="622">
        <f>SUM(F7:F56)</f>
        <v>163812</v>
      </c>
      <c r="G58" s="622">
        <f>SUM(B58:F58)</f>
        <v>5315560</v>
      </c>
      <c r="I58" s="623"/>
    </row>
    <row r="59" spans="1:8" ht="12.75">
      <c r="A59" s="173"/>
      <c r="B59" s="331"/>
      <c r="C59" s="331"/>
      <c r="D59" s="331"/>
      <c r="E59" s="329"/>
      <c r="F59" s="331"/>
      <c r="G59" s="331"/>
      <c r="H59" s="2"/>
    </row>
    <row r="60" spans="1:8" ht="12.75">
      <c r="A60" s="238" t="s">
        <v>313</v>
      </c>
      <c r="B60" s="236">
        <v>2023951</v>
      </c>
      <c r="C60" s="236">
        <v>556012</v>
      </c>
      <c r="D60" s="236">
        <v>367468</v>
      </c>
      <c r="E60" s="236">
        <v>11774</v>
      </c>
      <c r="F60" s="236">
        <f>5908+68037</f>
        <v>73945</v>
      </c>
      <c r="G60" s="236">
        <f>SUM(B60:F60)</f>
        <v>3033150</v>
      </c>
      <c r="H60" s="38"/>
    </row>
    <row r="61" spans="1:8" ht="12.75">
      <c r="A61" s="625" t="s">
        <v>314</v>
      </c>
      <c r="B61" s="626">
        <v>404465</v>
      </c>
      <c r="C61" s="626">
        <v>91025</v>
      </c>
      <c r="D61" s="626">
        <v>110076</v>
      </c>
      <c r="E61" s="626">
        <v>3470</v>
      </c>
      <c r="F61" s="626">
        <f>1153+18432</f>
        <v>19585</v>
      </c>
      <c r="G61" s="626">
        <f aca="true" t="shared" si="1" ref="G61:G67">SUM(B61:F61)</f>
        <v>628621</v>
      </c>
      <c r="H61" s="38"/>
    </row>
    <row r="62" spans="1:8" ht="12.75">
      <c r="A62" s="238" t="s">
        <v>315</v>
      </c>
      <c r="B62" s="236">
        <v>265281</v>
      </c>
      <c r="C62" s="236">
        <v>50543</v>
      </c>
      <c r="D62" s="236">
        <v>57118</v>
      </c>
      <c r="E62" s="236">
        <v>2395</v>
      </c>
      <c r="F62" s="236">
        <f>854+11104</f>
        <v>11958</v>
      </c>
      <c r="G62" s="236">
        <f t="shared" si="1"/>
        <v>387295</v>
      </c>
      <c r="H62" s="38"/>
    </row>
    <row r="63" spans="1:8" ht="12.75">
      <c r="A63" s="625" t="s">
        <v>316</v>
      </c>
      <c r="B63" s="626">
        <v>92855</v>
      </c>
      <c r="C63" s="626">
        <v>13747</v>
      </c>
      <c r="D63" s="626">
        <v>33321</v>
      </c>
      <c r="E63" s="626">
        <v>896</v>
      </c>
      <c r="F63" s="627">
        <f>259+5422</f>
        <v>5681</v>
      </c>
      <c r="G63" s="626">
        <f t="shared" si="1"/>
        <v>146500</v>
      </c>
      <c r="H63" s="38"/>
    </row>
    <row r="64" spans="1:8" ht="12.75">
      <c r="A64" s="238" t="s">
        <v>317</v>
      </c>
      <c r="B64" s="236">
        <v>189062</v>
      </c>
      <c r="C64" s="236">
        <v>25187</v>
      </c>
      <c r="D64" s="236">
        <v>49016</v>
      </c>
      <c r="E64" s="236">
        <v>4251</v>
      </c>
      <c r="F64" s="236">
        <f>405+14389</f>
        <v>14794</v>
      </c>
      <c r="G64" s="236">
        <f t="shared" si="1"/>
        <v>282310</v>
      </c>
      <c r="H64" s="38"/>
    </row>
    <row r="65" spans="1:8" ht="12.75">
      <c r="A65" s="628" t="s">
        <v>318</v>
      </c>
      <c r="B65" s="626">
        <v>271118</v>
      </c>
      <c r="C65" s="626">
        <v>41274</v>
      </c>
      <c r="D65" s="626">
        <v>77963</v>
      </c>
      <c r="E65" s="626">
        <v>3063</v>
      </c>
      <c r="F65" s="626">
        <f>324+21735</f>
        <v>22059</v>
      </c>
      <c r="G65" s="626">
        <f t="shared" si="1"/>
        <v>415477</v>
      </c>
      <c r="H65" s="38"/>
    </row>
    <row r="66" spans="1:8" ht="12.75">
      <c r="A66" s="239" t="s">
        <v>374</v>
      </c>
      <c r="B66" s="236">
        <v>39282</v>
      </c>
      <c r="C66" s="236">
        <v>6596</v>
      </c>
      <c r="D66" s="236">
        <v>15772</v>
      </c>
      <c r="E66" s="236">
        <v>389</v>
      </c>
      <c r="F66" s="333">
        <f>132+3632</f>
        <v>3764</v>
      </c>
      <c r="G66" s="236">
        <f t="shared" si="1"/>
        <v>65803</v>
      </c>
      <c r="H66" s="38"/>
    </row>
    <row r="67" spans="1:8" ht="12.75">
      <c r="A67" s="628" t="s">
        <v>1093</v>
      </c>
      <c r="B67" s="626">
        <v>241335</v>
      </c>
      <c r="C67" s="626">
        <v>50289</v>
      </c>
      <c r="D67" s="626">
        <v>50725</v>
      </c>
      <c r="E67" s="626">
        <v>1756</v>
      </c>
      <c r="F67" s="626">
        <f>326+11692</f>
        <v>12018</v>
      </c>
      <c r="G67" s="626">
        <f t="shared" si="1"/>
        <v>356123</v>
      </c>
      <c r="H67" s="38"/>
    </row>
    <row r="68" spans="1:8" ht="15.75" customHeight="1">
      <c r="A68" s="43"/>
      <c r="B68" s="334"/>
      <c r="C68" s="334"/>
      <c r="D68" s="334"/>
      <c r="E68" s="334"/>
      <c r="F68" s="334"/>
      <c r="G68" s="334"/>
      <c r="H68" s="80"/>
    </row>
    <row r="69" spans="1:8" ht="15.75" customHeight="1">
      <c r="A69" s="307" t="s">
        <v>1306</v>
      </c>
      <c r="B69" s="779"/>
      <c r="C69" s="779"/>
      <c r="D69" s="779"/>
      <c r="E69" s="779"/>
      <c r="F69" s="779"/>
      <c r="G69" s="779"/>
      <c r="H69" s="80"/>
    </row>
    <row r="70" spans="1:7" ht="9" customHeight="1">
      <c r="A70" s="173"/>
      <c r="B70" s="237"/>
      <c r="C70" s="237"/>
      <c r="D70" s="237"/>
      <c r="E70" s="237"/>
      <c r="F70" s="237"/>
      <c r="G70" s="237"/>
    </row>
    <row r="71" spans="1:7" ht="12.75">
      <c r="A71" s="307" t="s">
        <v>1139</v>
      </c>
      <c r="B71" s="237"/>
      <c r="C71" s="237"/>
      <c r="D71" s="237"/>
      <c r="E71" s="237"/>
      <c r="F71" s="237"/>
      <c r="G71" s="237"/>
    </row>
    <row r="72" spans="1:7" ht="61.5" customHeight="1">
      <c r="A72" s="793" t="s">
        <v>1142</v>
      </c>
      <c r="B72" s="793"/>
      <c r="C72" s="793"/>
      <c r="D72" s="793"/>
      <c r="E72" s="793"/>
      <c r="F72" s="793"/>
      <c r="G72" s="793"/>
    </row>
    <row r="74" spans="2:7" ht="12.75">
      <c r="B74" s="241"/>
      <c r="C74" s="241"/>
      <c r="D74" s="241"/>
      <c r="E74" s="241"/>
      <c r="F74" s="241"/>
      <c r="G74" s="241"/>
    </row>
    <row r="75" spans="2:7" ht="12.75">
      <c r="B75" s="241"/>
      <c r="C75" s="241"/>
      <c r="D75" s="241"/>
      <c r="E75" s="241"/>
      <c r="F75" s="241"/>
      <c r="G75" s="242"/>
    </row>
    <row r="76" spans="2:7" ht="12.75">
      <c r="B76" s="241"/>
      <c r="C76" s="241"/>
      <c r="D76" s="241"/>
      <c r="E76" s="241"/>
      <c r="F76" s="241"/>
      <c r="G76" s="242"/>
    </row>
    <row r="77" spans="2:7" ht="12.75">
      <c r="B77" s="241"/>
      <c r="C77" s="241"/>
      <c r="D77" s="241"/>
      <c r="E77" s="240"/>
      <c r="F77" s="241"/>
      <c r="G77" s="242"/>
    </row>
    <row r="78" spans="2:7" ht="12.75">
      <c r="B78" s="241"/>
      <c r="C78" s="241"/>
      <c r="D78" s="241"/>
      <c r="E78" s="241"/>
      <c r="F78" s="241"/>
      <c r="G78" s="242"/>
    </row>
    <row r="79" spans="2:7" ht="12.75">
      <c r="B79" s="241"/>
      <c r="C79" s="241"/>
      <c r="D79" s="241"/>
      <c r="E79" s="241"/>
      <c r="F79" s="241"/>
      <c r="G79" s="242"/>
    </row>
    <row r="80" spans="2:7" ht="12.75">
      <c r="B80" s="241"/>
      <c r="C80" s="241"/>
      <c r="D80" s="241"/>
      <c r="E80" s="240"/>
      <c r="F80" s="241"/>
      <c r="G80" s="242"/>
    </row>
    <row r="81" spans="2:7" ht="12.75">
      <c r="B81" s="241"/>
      <c r="C81" s="241"/>
      <c r="D81" s="241"/>
      <c r="E81" s="241"/>
      <c r="F81" s="241"/>
      <c r="G81" s="242"/>
    </row>
    <row r="82" spans="2:7" ht="12.75">
      <c r="B82" s="38"/>
      <c r="C82" s="38"/>
      <c r="D82" s="38"/>
      <c r="E82" s="38"/>
      <c r="F82" s="38"/>
      <c r="G82" s="38"/>
    </row>
  </sheetData>
  <sheetProtection/>
  <mergeCells count="1">
    <mergeCell ref="A72:G72"/>
  </mergeCells>
  <printOptions/>
  <pageMargins left="0.1968503937007874" right="0.75" top="0.5511811023622047" bottom="0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5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3.7109375" style="631" customWidth="1"/>
    <col min="2" max="6" width="13.7109375" style="631" customWidth="1"/>
    <col min="7" max="16384" width="9.140625" style="631" customWidth="1"/>
  </cols>
  <sheetData>
    <row r="1" spans="1:4" ht="15">
      <c r="A1" s="629" t="s">
        <v>1305</v>
      </c>
      <c r="B1" s="630"/>
      <c r="C1" s="630"/>
      <c r="D1" s="630"/>
    </row>
    <row r="2" spans="1:4" ht="12.75">
      <c r="A2" s="632"/>
      <c r="B2" s="630"/>
      <c r="C2" s="630"/>
      <c r="D2" s="630"/>
    </row>
    <row r="3" spans="1:4" ht="12.75">
      <c r="A3" s="633" t="s">
        <v>1090</v>
      </c>
      <c r="B3" s="634"/>
      <c r="C3" s="634"/>
      <c r="D3" s="634"/>
    </row>
    <row r="4" spans="1:6" ht="21">
      <c r="A4" s="635" t="s">
        <v>334</v>
      </c>
      <c r="B4" s="635" t="s">
        <v>1099</v>
      </c>
      <c r="C4" s="635" t="s">
        <v>1100</v>
      </c>
      <c r="D4" s="635" t="s">
        <v>1143</v>
      </c>
      <c r="E4" s="635" t="s">
        <v>355</v>
      </c>
      <c r="F4" s="635" t="s">
        <v>1144</v>
      </c>
    </row>
    <row r="6" spans="1:6" ht="12.75">
      <c r="A6" s="631" t="s">
        <v>410</v>
      </c>
      <c r="B6" s="636">
        <v>162</v>
      </c>
      <c r="C6" s="636">
        <v>12</v>
      </c>
      <c r="D6" s="636">
        <v>110</v>
      </c>
      <c r="E6" s="636">
        <v>62</v>
      </c>
      <c r="F6" s="636">
        <v>105</v>
      </c>
    </row>
    <row r="7" spans="1:6" ht="12.75">
      <c r="A7" s="637" t="s">
        <v>411</v>
      </c>
      <c r="B7" s="638">
        <v>7053</v>
      </c>
      <c r="C7" s="638">
        <v>1184</v>
      </c>
      <c r="D7" s="638">
        <v>1233</v>
      </c>
      <c r="E7" s="638">
        <v>78</v>
      </c>
      <c r="F7" s="638">
        <v>766</v>
      </c>
    </row>
    <row r="8" spans="1:6" ht="12.75">
      <c r="A8" s="631" t="s">
        <v>412</v>
      </c>
      <c r="B8" s="636">
        <v>364</v>
      </c>
      <c r="C8" s="636">
        <v>63</v>
      </c>
      <c r="D8" s="636">
        <v>181</v>
      </c>
      <c r="E8" s="636">
        <v>3</v>
      </c>
      <c r="F8" s="636">
        <v>68</v>
      </c>
    </row>
    <row r="9" spans="1:6" ht="12.75">
      <c r="A9" s="637" t="s">
        <v>413</v>
      </c>
      <c r="B9" s="638">
        <v>3057</v>
      </c>
      <c r="C9" s="638">
        <v>347</v>
      </c>
      <c r="D9" s="638">
        <v>834</v>
      </c>
      <c r="E9" s="638">
        <v>57</v>
      </c>
      <c r="F9" s="638">
        <v>221</v>
      </c>
    </row>
    <row r="10" spans="1:6" ht="12.75">
      <c r="A10" s="631" t="s">
        <v>414</v>
      </c>
      <c r="B10" s="636">
        <v>8900</v>
      </c>
      <c r="C10" s="636">
        <v>200</v>
      </c>
      <c r="D10" s="636">
        <v>5598</v>
      </c>
      <c r="E10" s="636">
        <v>129</v>
      </c>
      <c r="F10" s="636">
        <v>2961</v>
      </c>
    </row>
    <row r="11" spans="1:6" ht="12.75">
      <c r="A11" s="637" t="s">
        <v>415</v>
      </c>
      <c r="B11" s="638">
        <v>541</v>
      </c>
      <c r="C11" s="638">
        <v>75</v>
      </c>
      <c r="D11" s="638">
        <v>168</v>
      </c>
      <c r="E11" s="638">
        <v>18</v>
      </c>
      <c r="F11" s="638">
        <v>29</v>
      </c>
    </row>
    <row r="12" spans="1:6" ht="12.75">
      <c r="A12" s="631" t="s">
        <v>416</v>
      </c>
      <c r="B12" s="636">
        <v>1331</v>
      </c>
      <c r="C12" s="636">
        <v>207</v>
      </c>
      <c r="D12" s="636">
        <v>370</v>
      </c>
      <c r="E12" s="636">
        <v>0</v>
      </c>
      <c r="F12" s="636">
        <v>60</v>
      </c>
    </row>
    <row r="13" spans="1:6" ht="12.75">
      <c r="A13" s="637" t="s">
        <v>417</v>
      </c>
      <c r="B13" s="638">
        <v>525</v>
      </c>
      <c r="C13" s="638">
        <v>110</v>
      </c>
      <c r="D13" s="638">
        <v>226</v>
      </c>
      <c r="E13" s="638">
        <v>0</v>
      </c>
      <c r="F13" s="638">
        <v>39</v>
      </c>
    </row>
    <row r="14" spans="1:6" ht="12.75">
      <c r="A14" s="631" t="s">
        <v>418</v>
      </c>
      <c r="B14" s="636">
        <v>553</v>
      </c>
      <c r="C14" s="636">
        <v>120</v>
      </c>
      <c r="D14" s="636">
        <v>366</v>
      </c>
      <c r="E14" s="636">
        <v>13</v>
      </c>
      <c r="F14" s="636">
        <v>71</v>
      </c>
    </row>
    <row r="15" spans="1:6" ht="12.75">
      <c r="A15" s="637" t="s">
        <v>419</v>
      </c>
      <c r="B15" s="638">
        <v>1343</v>
      </c>
      <c r="C15" s="638">
        <v>131</v>
      </c>
      <c r="D15" s="638">
        <v>415</v>
      </c>
      <c r="E15" s="638">
        <v>1</v>
      </c>
      <c r="F15" s="638">
        <v>122</v>
      </c>
    </row>
    <row r="16" spans="1:6" ht="12.75">
      <c r="A16" s="631" t="s">
        <v>1166</v>
      </c>
      <c r="B16" s="636">
        <v>530</v>
      </c>
      <c r="C16" s="636">
        <v>80</v>
      </c>
      <c r="D16" s="636">
        <v>155</v>
      </c>
      <c r="E16" s="636">
        <v>4</v>
      </c>
      <c r="F16" s="636">
        <v>63</v>
      </c>
    </row>
    <row r="17" spans="1:6" ht="12.75">
      <c r="A17" s="637" t="s">
        <v>420</v>
      </c>
      <c r="B17" s="638">
        <v>261</v>
      </c>
      <c r="C17" s="638">
        <v>35</v>
      </c>
      <c r="D17" s="638">
        <v>113</v>
      </c>
      <c r="E17" s="638">
        <v>1</v>
      </c>
      <c r="F17" s="638">
        <v>26</v>
      </c>
    </row>
    <row r="18" spans="1:6" ht="12.75">
      <c r="A18" s="631" t="s">
        <v>1167</v>
      </c>
      <c r="B18" s="636">
        <v>260</v>
      </c>
      <c r="C18" s="636">
        <v>46</v>
      </c>
      <c r="D18" s="636">
        <v>78</v>
      </c>
      <c r="E18" s="636">
        <v>2</v>
      </c>
      <c r="F18" s="636">
        <v>24</v>
      </c>
    </row>
    <row r="19" spans="1:6" ht="12.75">
      <c r="A19" s="637" t="s">
        <v>421</v>
      </c>
      <c r="B19" s="638">
        <v>80</v>
      </c>
      <c r="C19" s="638">
        <v>26</v>
      </c>
      <c r="D19" s="638">
        <v>77</v>
      </c>
      <c r="E19" s="638">
        <v>0</v>
      </c>
      <c r="F19" s="638">
        <v>32</v>
      </c>
    </row>
    <row r="20" spans="1:6" ht="12.75">
      <c r="A20" s="631" t="s">
        <v>422</v>
      </c>
      <c r="B20" s="636">
        <v>1324</v>
      </c>
      <c r="C20" s="636">
        <v>221</v>
      </c>
      <c r="D20" s="636">
        <v>278</v>
      </c>
      <c r="E20" s="636">
        <v>14</v>
      </c>
      <c r="F20" s="636">
        <v>86</v>
      </c>
    </row>
    <row r="21" spans="1:6" ht="12.75">
      <c r="A21" s="637" t="s">
        <v>423</v>
      </c>
      <c r="B21" s="638">
        <v>918</v>
      </c>
      <c r="C21" s="638">
        <v>115</v>
      </c>
      <c r="D21" s="638">
        <v>240</v>
      </c>
      <c r="E21" s="638">
        <v>1</v>
      </c>
      <c r="F21" s="638">
        <v>81</v>
      </c>
    </row>
    <row r="22" spans="1:6" ht="12.75">
      <c r="A22" s="631" t="s">
        <v>1168</v>
      </c>
      <c r="B22" s="636">
        <v>510</v>
      </c>
      <c r="C22" s="636">
        <v>53</v>
      </c>
      <c r="D22" s="636">
        <v>165</v>
      </c>
      <c r="E22" s="636">
        <v>8</v>
      </c>
      <c r="F22" s="636">
        <v>29</v>
      </c>
    </row>
    <row r="23" spans="1:6" ht="12.75">
      <c r="A23" s="637" t="s">
        <v>424</v>
      </c>
      <c r="B23" s="638">
        <v>1478</v>
      </c>
      <c r="C23" s="638">
        <v>248</v>
      </c>
      <c r="D23" s="638">
        <v>372</v>
      </c>
      <c r="E23" s="638">
        <v>13</v>
      </c>
      <c r="F23" s="638">
        <v>71</v>
      </c>
    </row>
    <row r="24" spans="1:6" ht="12.75">
      <c r="A24" s="631" t="s">
        <v>1169</v>
      </c>
      <c r="B24" s="636">
        <v>288</v>
      </c>
      <c r="C24" s="636">
        <v>71</v>
      </c>
      <c r="D24" s="636">
        <v>59</v>
      </c>
      <c r="E24" s="636">
        <v>2</v>
      </c>
      <c r="F24" s="636">
        <v>18</v>
      </c>
    </row>
    <row r="25" spans="1:6" ht="12.75">
      <c r="A25" s="637" t="s">
        <v>425</v>
      </c>
      <c r="B25" s="638">
        <v>500</v>
      </c>
      <c r="C25" s="638">
        <v>136</v>
      </c>
      <c r="D25" s="638">
        <v>164</v>
      </c>
      <c r="E25" s="638">
        <v>4</v>
      </c>
      <c r="F25" s="638">
        <v>34</v>
      </c>
    </row>
    <row r="26" spans="1:6" ht="12.75">
      <c r="A26" s="631" t="s">
        <v>426</v>
      </c>
      <c r="B26" s="636">
        <v>5408</v>
      </c>
      <c r="C26" s="636">
        <v>698</v>
      </c>
      <c r="D26" s="636">
        <v>2011</v>
      </c>
      <c r="E26" s="636">
        <v>53</v>
      </c>
      <c r="F26" s="636">
        <v>245</v>
      </c>
    </row>
    <row r="27" spans="1:6" ht="12.75">
      <c r="A27" s="637" t="s">
        <v>427</v>
      </c>
      <c r="B27" s="638">
        <v>158</v>
      </c>
      <c r="C27" s="638">
        <v>29</v>
      </c>
      <c r="D27" s="638">
        <v>43</v>
      </c>
      <c r="E27" s="638">
        <v>3</v>
      </c>
      <c r="F27" s="638">
        <v>20</v>
      </c>
    </row>
    <row r="28" spans="1:6" ht="12.75">
      <c r="A28" s="631" t="s">
        <v>428</v>
      </c>
      <c r="B28" s="636">
        <v>5068</v>
      </c>
      <c r="C28" s="636">
        <v>610</v>
      </c>
      <c r="D28" s="636">
        <v>1457</v>
      </c>
      <c r="E28" s="636">
        <v>140</v>
      </c>
      <c r="F28" s="636">
        <v>600</v>
      </c>
    </row>
    <row r="29" spans="1:6" ht="12.75">
      <c r="A29" s="637" t="s">
        <v>429</v>
      </c>
      <c r="B29" s="638">
        <v>1936</v>
      </c>
      <c r="C29" s="638">
        <v>339</v>
      </c>
      <c r="D29" s="638">
        <v>498</v>
      </c>
      <c r="E29" s="638">
        <v>22</v>
      </c>
      <c r="F29" s="638">
        <v>114</v>
      </c>
    </row>
    <row r="30" spans="1:6" ht="12.75">
      <c r="A30" s="631" t="s">
        <v>430</v>
      </c>
      <c r="B30" s="636">
        <v>2941</v>
      </c>
      <c r="C30" s="636">
        <v>458</v>
      </c>
      <c r="D30" s="636">
        <v>902</v>
      </c>
      <c r="E30" s="636">
        <v>57</v>
      </c>
      <c r="F30" s="636">
        <v>210</v>
      </c>
    </row>
    <row r="31" spans="1:6" ht="12.75">
      <c r="A31" s="637" t="s">
        <v>1170</v>
      </c>
      <c r="B31" s="638">
        <v>2363</v>
      </c>
      <c r="C31" s="638">
        <v>244</v>
      </c>
      <c r="D31" s="638">
        <v>1108</v>
      </c>
      <c r="E31" s="638">
        <v>49</v>
      </c>
      <c r="F31" s="638">
        <v>237</v>
      </c>
    </row>
    <row r="32" spans="1:6" ht="12.75">
      <c r="A32" s="631" t="s">
        <v>431</v>
      </c>
      <c r="B32" s="636">
        <v>448</v>
      </c>
      <c r="C32" s="636">
        <v>68</v>
      </c>
      <c r="D32" s="636">
        <v>202</v>
      </c>
      <c r="E32" s="636">
        <v>39</v>
      </c>
      <c r="F32" s="636">
        <v>87</v>
      </c>
    </row>
    <row r="33" spans="1:6" ht="12.75">
      <c r="A33" s="637" t="s">
        <v>1171</v>
      </c>
      <c r="B33" s="638">
        <v>586</v>
      </c>
      <c r="C33" s="638">
        <v>324</v>
      </c>
      <c r="D33" s="638">
        <v>190</v>
      </c>
      <c r="E33" s="638">
        <v>2</v>
      </c>
      <c r="F33" s="638">
        <v>15</v>
      </c>
    </row>
    <row r="34" spans="1:6" ht="12.75">
      <c r="A34" s="631" t="s">
        <v>432</v>
      </c>
      <c r="B34" s="636">
        <v>5349</v>
      </c>
      <c r="C34" s="636">
        <v>1845</v>
      </c>
      <c r="D34" s="636">
        <v>983</v>
      </c>
      <c r="E34" s="636">
        <v>3</v>
      </c>
      <c r="F34" s="636">
        <v>162</v>
      </c>
    </row>
    <row r="35" spans="1:6" ht="12.75">
      <c r="A35" s="637" t="s">
        <v>433</v>
      </c>
      <c r="B35" s="638">
        <v>169</v>
      </c>
      <c r="C35" s="638">
        <v>42</v>
      </c>
      <c r="D35" s="638">
        <v>114</v>
      </c>
      <c r="E35" s="638">
        <v>0</v>
      </c>
      <c r="F35" s="638">
        <v>11</v>
      </c>
    </row>
    <row r="36" spans="1:6" ht="12.75">
      <c r="A36" s="631" t="s">
        <v>434</v>
      </c>
      <c r="B36" s="636">
        <v>1476</v>
      </c>
      <c r="C36" s="636">
        <v>165</v>
      </c>
      <c r="D36" s="636">
        <v>568</v>
      </c>
      <c r="E36" s="636">
        <v>69</v>
      </c>
      <c r="F36" s="636">
        <v>159</v>
      </c>
    </row>
    <row r="37" spans="1:6" ht="12.75">
      <c r="A37" s="637" t="s">
        <v>435</v>
      </c>
      <c r="B37" s="638">
        <v>207</v>
      </c>
      <c r="C37" s="638">
        <v>65</v>
      </c>
      <c r="D37" s="638">
        <v>59</v>
      </c>
      <c r="E37" s="638">
        <v>2</v>
      </c>
      <c r="F37" s="638">
        <v>17</v>
      </c>
    </row>
    <row r="38" spans="1:6" ht="12.75">
      <c r="A38" s="631" t="s">
        <v>436</v>
      </c>
      <c r="B38" s="636">
        <v>1091</v>
      </c>
      <c r="C38" s="636">
        <v>209</v>
      </c>
      <c r="D38" s="636">
        <v>349</v>
      </c>
      <c r="E38" s="636">
        <v>3</v>
      </c>
      <c r="F38" s="636">
        <v>54</v>
      </c>
    </row>
    <row r="39" spans="1:6" ht="12.75">
      <c r="A39" s="637" t="s">
        <v>437</v>
      </c>
      <c r="B39" s="638">
        <v>287</v>
      </c>
      <c r="C39" s="638">
        <v>35</v>
      </c>
      <c r="D39" s="638">
        <v>126</v>
      </c>
      <c r="E39" s="638">
        <v>35</v>
      </c>
      <c r="F39" s="638">
        <v>56</v>
      </c>
    </row>
    <row r="40" spans="1:6" ht="12.75">
      <c r="A40" s="631" t="s">
        <v>438</v>
      </c>
      <c r="B40" s="636">
        <v>1907</v>
      </c>
      <c r="C40" s="636">
        <v>203</v>
      </c>
      <c r="D40" s="636">
        <v>616</v>
      </c>
      <c r="E40" s="636">
        <v>83</v>
      </c>
      <c r="F40" s="636">
        <v>203</v>
      </c>
    </row>
    <row r="41" spans="1:6" ht="12.75">
      <c r="A41" s="637" t="s">
        <v>439</v>
      </c>
      <c r="B41" s="638">
        <v>137</v>
      </c>
      <c r="C41" s="638">
        <v>15</v>
      </c>
      <c r="D41" s="638">
        <v>85</v>
      </c>
      <c r="E41" s="638">
        <v>0</v>
      </c>
      <c r="F41" s="638">
        <v>22</v>
      </c>
    </row>
    <row r="42" spans="1:6" ht="12.75">
      <c r="A42" s="631" t="s">
        <v>440</v>
      </c>
      <c r="B42" s="636">
        <v>260</v>
      </c>
      <c r="C42" s="636">
        <v>41</v>
      </c>
      <c r="D42" s="636">
        <v>74</v>
      </c>
      <c r="E42" s="636">
        <v>0</v>
      </c>
      <c r="F42" s="636">
        <v>10</v>
      </c>
    </row>
    <row r="43" spans="1:6" ht="12.75">
      <c r="A43" s="637" t="s">
        <v>441</v>
      </c>
      <c r="B43" s="638">
        <v>3442</v>
      </c>
      <c r="C43" s="638">
        <v>383</v>
      </c>
      <c r="D43" s="638">
        <v>847</v>
      </c>
      <c r="E43" s="638">
        <v>39</v>
      </c>
      <c r="F43" s="638">
        <v>220</v>
      </c>
    </row>
    <row r="44" spans="1:6" ht="12.75">
      <c r="A44" s="631" t="s">
        <v>442</v>
      </c>
      <c r="B44" s="636">
        <v>202</v>
      </c>
      <c r="C44" s="636">
        <v>35</v>
      </c>
      <c r="D44" s="636">
        <v>77</v>
      </c>
      <c r="E44" s="636">
        <v>0</v>
      </c>
      <c r="F44" s="636">
        <v>23</v>
      </c>
    </row>
    <row r="45" spans="1:6" ht="12.75">
      <c r="A45" s="637" t="s">
        <v>443</v>
      </c>
      <c r="B45" s="638">
        <v>2039</v>
      </c>
      <c r="C45" s="638">
        <v>302</v>
      </c>
      <c r="D45" s="638">
        <v>552</v>
      </c>
      <c r="E45" s="638">
        <v>23</v>
      </c>
      <c r="F45" s="638">
        <v>200</v>
      </c>
    </row>
    <row r="46" spans="1:6" ht="12.75">
      <c r="A46" s="631" t="s">
        <v>444</v>
      </c>
      <c r="B46" s="636">
        <v>850</v>
      </c>
      <c r="C46" s="636">
        <v>239</v>
      </c>
      <c r="D46" s="636">
        <v>201</v>
      </c>
      <c r="E46" s="636">
        <v>1</v>
      </c>
      <c r="F46" s="636">
        <v>30</v>
      </c>
    </row>
    <row r="47" spans="1:6" ht="12.75">
      <c r="A47" s="637" t="s">
        <v>445</v>
      </c>
      <c r="B47" s="638">
        <v>106</v>
      </c>
      <c r="C47" s="638">
        <v>41</v>
      </c>
      <c r="D47" s="638">
        <v>43</v>
      </c>
      <c r="E47" s="638">
        <v>1</v>
      </c>
      <c r="F47" s="638">
        <v>8</v>
      </c>
    </row>
    <row r="48" spans="1:6" ht="12.75">
      <c r="A48" s="631" t="s">
        <v>446</v>
      </c>
      <c r="B48" s="636">
        <v>871</v>
      </c>
      <c r="C48" s="636">
        <v>224</v>
      </c>
      <c r="D48" s="636">
        <v>349</v>
      </c>
      <c r="E48" s="636">
        <v>8</v>
      </c>
      <c r="F48" s="636">
        <v>128</v>
      </c>
    </row>
    <row r="49" spans="1:6" ht="12.75">
      <c r="A49" s="637" t="s">
        <v>447</v>
      </c>
      <c r="B49" s="638">
        <v>148</v>
      </c>
      <c r="C49" s="638">
        <v>46</v>
      </c>
      <c r="D49" s="638">
        <v>76</v>
      </c>
      <c r="E49" s="638">
        <v>0</v>
      </c>
      <c r="F49" s="638">
        <v>17</v>
      </c>
    </row>
    <row r="50" spans="1:6" ht="12.75">
      <c r="A50" s="631" t="s">
        <v>448</v>
      </c>
      <c r="B50" s="636">
        <v>3298</v>
      </c>
      <c r="C50" s="636">
        <v>597</v>
      </c>
      <c r="D50" s="636">
        <v>662</v>
      </c>
      <c r="E50" s="636">
        <v>58</v>
      </c>
      <c r="F50" s="636">
        <v>186</v>
      </c>
    </row>
    <row r="51" spans="1:6" ht="12.75">
      <c r="A51" s="637" t="s">
        <v>449</v>
      </c>
      <c r="B51" s="638">
        <v>205</v>
      </c>
      <c r="C51" s="638">
        <v>40</v>
      </c>
      <c r="D51" s="638">
        <v>114</v>
      </c>
      <c r="E51" s="638">
        <v>0</v>
      </c>
      <c r="F51" s="638">
        <v>29</v>
      </c>
    </row>
    <row r="52" spans="1:6" ht="12.75">
      <c r="A52" s="631" t="s">
        <v>450</v>
      </c>
      <c r="B52" s="636">
        <v>2567</v>
      </c>
      <c r="C52" s="636">
        <v>537</v>
      </c>
      <c r="D52" s="636">
        <v>471</v>
      </c>
      <c r="E52" s="636">
        <v>9</v>
      </c>
      <c r="F52" s="636">
        <v>98</v>
      </c>
    </row>
    <row r="53" spans="1:6" ht="12.75">
      <c r="A53" s="637" t="s">
        <v>451</v>
      </c>
      <c r="B53" s="638">
        <v>1286</v>
      </c>
      <c r="C53" s="638">
        <v>190</v>
      </c>
      <c r="D53" s="638">
        <v>438</v>
      </c>
      <c r="E53" s="638">
        <v>8</v>
      </c>
      <c r="F53" s="638">
        <v>72</v>
      </c>
    </row>
    <row r="54" spans="1:6" ht="12.75">
      <c r="A54" s="631" t="s">
        <v>1172</v>
      </c>
      <c r="B54" s="636">
        <v>3647</v>
      </c>
      <c r="C54" s="636">
        <v>718</v>
      </c>
      <c r="D54" s="636">
        <v>1124</v>
      </c>
      <c r="E54" s="636">
        <v>12</v>
      </c>
      <c r="F54" s="636">
        <v>164</v>
      </c>
    </row>
    <row r="55" spans="1:6" ht="12.75">
      <c r="A55" s="637" t="s">
        <v>1173</v>
      </c>
      <c r="B55" s="638">
        <v>5048</v>
      </c>
      <c r="C55" s="638">
        <v>1279</v>
      </c>
      <c r="D55" s="638">
        <v>1154</v>
      </c>
      <c r="E55" s="638">
        <v>76</v>
      </c>
      <c r="F55" s="638">
        <v>252</v>
      </c>
    </row>
    <row r="56" spans="1:6" ht="12.75">
      <c r="A56" s="631" t="s">
        <v>1174</v>
      </c>
      <c r="B56" s="636">
        <v>1646</v>
      </c>
      <c r="C56" s="636">
        <v>184</v>
      </c>
      <c r="D56" s="636">
        <v>501</v>
      </c>
      <c r="E56" s="636">
        <v>11</v>
      </c>
      <c r="F56" s="636">
        <v>86</v>
      </c>
    </row>
    <row r="57" spans="1:6" ht="12.75">
      <c r="A57" s="637" t="s">
        <v>452</v>
      </c>
      <c r="B57" s="638">
        <v>10336</v>
      </c>
      <c r="C57" s="638">
        <v>1219</v>
      </c>
      <c r="D57" s="638">
        <v>3464</v>
      </c>
      <c r="E57" s="638">
        <v>224</v>
      </c>
      <c r="F57" s="638">
        <v>834</v>
      </c>
    </row>
    <row r="58" spans="1:6" ht="12.75">
      <c r="A58" s="631" t="s">
        <v>453</v>
      </c>
      <c r="B58" s="636">
        <v>2950</v>
      </c>
      <c r="C58" s="636">
        <v>492</v>
      </c>
      <c r="D58" s="636">
        <v>724</v>
      </c>
      <c r="E58" s="636">
        <v>14</v>
      </c>
      <c r="F58" s="636">
        <v>140</v>
      </c>
    </row>
    <row r="59" spans="1:6" ht="12.75">
      <c r="A59" s="637" t="s">
        <v>454</v>
      </c>
      <c r="B59" s="638">
        <v>933</v>
      </c>
      <c r="C59" s="638">
        <v>132</v>
      </c>
      <c r="D59" s="638">
        <v>371</v>
      </c>
      <c r="E59" s="638">
        <v>44</v>
      </c>
      <c r="F59" s="638">
        <v>97</v>
      </c>
    </row>
    <row r="60" spans="1:6" ht="12.75">
      <c r="A60" s="631" t="s">
        <v>455</v>
      </c>
      <c r="B60" s="636">
        <v>1444</v>
      </c>
      <c r="C60" s="636">
        <v>124</v>
      </c>
      <c r="D60" s="636">
        <v>497</v>
      </c>
      <c r="E60" s="636">
        <v>4</v>
      </c>
      <c r="F60" s="636">
        <v>88</v>
      </c>
    </row>
    <row r="61" spans="1:6" ht="12.75">
      <c r="A61" s="637" t="s">
        <v>1175</v>
      </c>
      <c r="B61" s="638">
        <v>2859</v>
      </c>
      <c r="C61" s="638">
        <v>384</v>
      </c>
      <c r="D61" s="638">
        <v>549</v>
      </c>
      <c r="E61" s="638">
        <v>25</v>
      </c>
      <c r="F61" s="638">
        <v>166</v>
      </c>
    </row>
    <row r="62" spans="1:6" ht="12.75">
      <c r="A62" s="631" t="s">
        <v>456</v>
      </c>
      <c r="B62" s="636">
        <v>90</v>
      </c>
      <c r="C62" s="636">
        <v>20</v>
      </c>
      <c r="D62" s="636">
        <v>47</v>
      </c>
      <c r="E62" s="636">
        <v>0</v>
      </c>
      <c r="F62" s="636">
        <v>11</v>
      </c>
    </row>
    <row r="63" spans="1:6" ht="12.75">
      <c r="A63" s="637" t="s">
        <v>457</v>
      </c>
      <c r="B63" s="638">
        <v>3335</v>
      </c>
      <c r="C63" s="638">
        <v>496</v>
      </c>
      <c r="D63" s="638">
        <v>1065</v>
      </c>
      <c r="E63" s="638">
        <v>6</v>
      </c>
      <c r="F63" s="638">
        <v>155</v>
      </c>
    </row>
    <row r="64" spans="1:6" ht="12.75">
      <c r="A64" s="631" t="s">
        <v>458</v>
      </c>
      <c r="B64" s="636">
        <v>7084</v>
      </c>
      <c r="C64" s="636">
        <v>1920</v>
      </c>
      <c r="D64" s="636">
        <v>1211</v>
      </c>
      <c r="E64" s="636">
        <v>14</v>
      </c>
      <c r="F64" s="636">
        <v>172</v>
      </c>
    </row>
    <row r="65" spans="1:6" ht="12.75">
      <c r="A65" s="637" t="s">
        <v>459</v>
      </c>
      <c r="B65" s="638">
        <v>4408</v>
      </c>
      <c r="C65" s="638">
        <v>1241</v>
      </c>
      <c r="D65" s="638">
        <v>1051</v>
      </c>
      <c r="E65" s="638">
        <v>7</v>
      </c>
      <c r="F65" s="638">
        <v>171</v>
      </c>
    </row>
    <row r="66" spans="1:6" ht="12.75">
      <c r="A66" s="631" t="s">
        <v>460</v>
      </c>
      <c r="B66" s="636">
        <v>265</v>
      </c>
      <c r="C66" s="636">
        <v>62</v>
      </c>
      <c r="D66" s="636">
        <v>116</v>
      </c>
      <c r="E66" s="636">
        <v>18</v>
      </c>
      <c r="F66" s="636">
        <v>39</v>
      </c>
    </row>
    <row r="67" spans="1:6" ht="12.75">
      <c r="A67" s="637" t="s">
        <v>461</v>
      </c>
      <c r="B67" s="638">
        <v>123</v>
      </c>
      <c r="C67" s="638">
        <v>33</v>
      </c>
      <c r="D67" s="638">
        <v>77</v>
      </c>
      <c r="E67" s="638">
        <v>0</v>
      </c>
      <c r="F67" s="638">
        <v>17</v>
      </c>
    </row>
    <row r="68" spans="1:6" ht="12.75">
      <c r="A68" s="631" t="s">
        <v>1176</v>
      </c>
      <c r="B68" s="636">
        <v>106</v>
      </c>
      <c r="C68" s="636">
        <v>25</v>
      </c>
      <c r="D68" s="636">
        <v>32</v>
      </c>
      <c r="E68" s="636">
        <v>0</v>
      </c>
      <c r="F68" s="636">
        <v>8</v>
      </c>
    </row>
    <row r="69" spans="1:6" ht="12.75">
      <c r="A69" s="637" t="s">
        <v>462</v>
      </c>
      <c r="B69" s="638">
        <v>6579</v>
      </c>
      <c r="C69" s="638">
        <v>1850</v>
      </c>
      <c r="D69" s="638">
        <v>1529</v>
      </c>
      <c r="E69" s="638">
        <v>32</v>
      </c>
      <c r="F69" s="638">
        <v>203</v>
      </c>
    </row>
    <row r="70" spans="1:6" ht="12.75">
      <c r="A70" s="631" t="s">
        <v>1177</v>
      </c>
      <c r="B70" s="636">
        <v>554</v>
      </c>
      <c r="C70" s="636">
        <v>133</v>
      </c>
      <c r="D70" s="636">
        <v>196</v>
      </c>
      <c r="E70" s="636">
        <v>13</v>
      </c>
      <c r="F70" s="636">
        <v>46</v>
      </c>
    </row>
    <row r="71" spans="1:6" ht="12.75">
      <c r="A71" s="637" t="s">
        <v>463</v>
      </c>
      <c r="B71" s="638">
        <v>225</v>
      </c>
      <c r="C71" s="638">
        <v>45</v>
      </c>
      <c r="D71" s="638">
        <v>113</v>
      </c>
      <c r="E71" s="638">
        <v>4</v>
      </c>
      <c r="F71" s="638">
        <v>29</v>
      </c>
    </row>
    <row r="72" spans="1:6" ht="12.75">
      <c r="A72" s="631" t="s">
        <v>464</v>
      </c>
      <c r="B72" s="636">
        <v>22</v>
      </c>
      <c r="C72" s="636">
        <v>14</v>
      </c>
      <c r="D72" s="636">
        <v>17</v>
      </c>
      <c r="E72" s="636">
        <v>0</v>
      </c>
      <c r="F72" s="636">
        <v>3</v>
      </c>
    </row>
    <row r="73" spans="1:6" ht="12.75">
      <c r="A73" s="637" t="s">
        <v>465</v>
      </c>
      <c r="B73" s="638">
        <v>59</v>
      </c>
      <c r="C73" s="638">
        <v>20</v>
      </c>
      <c r="D73" s="638">
        <v>29</v>
      </c>
      <c r="E73" s="638">
        <v>0</v>
      </c>
      <c r="F73" s="638">
        <v>5</v>
      </c>
    </row>
    <row r="74" spans="1:6" ht="12.75">
      <c r="A74" s="631" t="s">
        <v>466</v>
      </c>
      <c r="B74" s="636">
        <v>3224</v>
      </c>
      <c r="C74" s="636">
        <v>488</v>
      </c>
      <c r="D74" s="636">
        <v>746</v>
      </c>
      <c r="E74" s="636">
        <v>13</v>
      </c>
      <c r="F74" s="636">
        <v>216</v>
      </c>
    </row>
    <row r="75" spans="1:6" ht="12.75">
      <c r="A75" s="637" t="s">
        <v>467</v>
      </c>
      <c r="B75" s="638">
        <v>854</v>
      </c>
      <c r="C75" s="638">
        <v>100</v>
      </c>
      <c r="D75" s="638">
        <v>227</v>
      </c>
      <c r="E75" s="638">
        <v>1</v>
      </c>
      <c r="F75" s="638">
        <v>28</v>
      </c>
    </row>
    <row r="76" spans="1:6" ht="12.75">
      <c r="A76" s="631" t="s">
        <v>468</v>
      </c>
      <c r="B76" s="636">
        <v>2163</v>
      </c>
      <c r="C76" s="636">
        <v>269</v>
      </c>
      <c r="D76" s="636">
        <v>744</v>
      </c>
      <c r="E76" s="636">
        <v>41</v>
      </c>
      <c r="F76" s="636">
        <v>169</v>
      </c>
    </row>
    <row r="77" spans="1:6" ht="12.75">
      <c r="A77" s="637" t="s">
        <v>469</v>
      </c>
      <c r="B77" s="638">
        <v>1010</v>
      </c>
      <c r="C77" s="638">
        <v>202</v>
      </c>
      <c r="D77" s="638">
        <v>341</v>
      </c>
      <c r="E77" s="638">
        <v>7</v>
      </c>
      <c r="F77" s="638">
        <v>101</v>
      </c>
    </row>
    <row r="78" spans="1:6" ht="12.75">
      <c r="A78" s="631" t="s">
        <v>470</v>
      </c>
      <c r="B78" s="636">
        <v>149</v>
      </c>
      <c r="C78" s="636">
        <v>24</v>
      </c>
      <c r="D78" s="636">
        <v>59</v>
      </c>
      <c r="E78" s="636">
        <v>0</v>
      </c>
      <c r="F78" s="636">
        <v>14</v>
      </c>
    </row>
    <row r="79" spans="1:6" ht="12.75">
      <c r="A79" s="637" t="s">
        <v>1178</v>
      </c>
      <c r="B79" s="638">
        <v>298</v>
      </c>
      <c r="C79" s="638">
        <v>54</v>
      </c>
      <c r="D79" s="638">
        <v>155</v>
      </c>
      <c r="E79" s="638">
        <v>4</v>
      </c>
      <c r="F79" s="638">
        <v>34</v>
      </c>
    </row>
    <row r="80" spans="1:6" ht="12.75">
      <c r="A80" s="631" t="s">
        <v>471</v>
      </c>
      <c r="B80" s="636">
        <v>1337</v>
      </c>
      <c r="C80" s="636">
        <v>340</v>
      </c>
      <c r="D80" s="636">
        <v>521</v>
      </c>
      <c r="E80" s="636">
        <v>12</v>
      </c>
      <c r="F80" s="636">
        <v>123</v>
      </c>
    </row>
    <row r="81" spans="1:6" ht="12.75">
      <c r="A81" s="637" t="s">
        <v>472</v>
      </c>
      <c r="B81" s="638">
        <v>1284</v>
      </c>
      <c r="C81" s="638">
        <v>201</v>
      </c>
      <c r="D81" s="638">
        <v>392</v>
      </c>
      <c r="E81" s="638">
        <v>38</v>
      </c>
      <c r="F81" s="638">
        <v>89</v>
      </c>
    </row>
    <row r="82" spans="1:6" ht="12.75">
      <c r="A82" s="631" t="s">
        <v>473</v>
      </c>
      <c r="B82" s="636">
        <v>1028</v>
      </c>
      <c r="C82" s="636">
        <v>214</v>
      </c>
      <c r="D82" s="636">
        <v>294</v>
      </c>
      <c r="E82" s="636">
        <v>7</v>
      </c>
      <c r="F82" s="636">
        <v>37</v>
      </c>
    </row>
    <row r="83" spans="1:6" ht="12.75">
      <c r="A83" s="637" t="s">
        <v>474</v>
      </c>
      <c r="B83" s="638">
        <v>1085</v>
      </c>
      <c r="C83" s="638">
        <v>228</v>
      </c>
      <c r="D83" s="638">
        <v>348</v>
      </c>
      <c r="E83" s="638">
        <v>16</v>
      </c>
      <c r="F83" s="638">
        <v>85</v>
      </c>
    </row>
    <row r="84" spans="1:6" ht="12.75">
      <c r="A84" s="631" t="s">
        <v>475</v>
      </c>
      <c r="B84" s="636">
        <v>84278</v>
      </c>
      <c r="C84" s="636">
        <v>19597</v>
      </c>
      <c r="D84" s="636">
        <v>14540</v>
      </c>
      <c r="E84" s="636">
        <v>354</v>
      </c>
      <c r="F84" s="636">
        <v>2361</v>
      </c>
    </row>
    <row r="85" spans="1:6" ht="12.75">
      <c r="A85" s="637" t="s">
        <v>476</v>
      </c>
      <c r="B85" s="638">
        <v>6305</v>
      </c>
      <c r="C85" s="638">
        <v>709</v>
      </c>
      <c r="D85" s="638">
        <v>676</v>
      </c>
      <c r="E85" s="638">
        <v>19</v>
      </c>
      <c r="F85" s="638">
        <v>146</v>
      </c>
    </row>
    <row r="86" spans="1:6" ht="12.75">
      <c r="A86" s="631" t="s">
        <v>477</v>
      </c>
      <c r="B86" s="636">
        <v>1076</v>
      </c>
      <c r="C86" s="636">
        <v>205</v>
      </c>
      <c r="D86" s="636">
        <v>399</v>
      </c>
      <c r="E86" s="636">
        <v>1</v>
      </c>
      <c r="F86" s="636">
        <v>58</v>
      </c>
    </row>
    <row r="87" spans="1:6" ht="12.75">
      <c r="A87" s="637" t="s">
        <v>478</v>
      </c>
      <c r="B87" s="638">
        <v>201</v>
      </c>
      <c r="C87" s="638">
        <v>42</v>
      </c>
      <c r="D87" s="638">
        <v>112</v>
      </c>
      <c r="E87" s="638">
        <v>0</v>
      </c>
      <c r="F87" s="638">
        <v>18</v>
      </c>
    </row>
    <row r="88" spans="1:6" ht="12.75">
      <c r="A88" s="631" t="s">
        <v>479</v>
      </c>
      <c r="B88" s="636">
        <v>7626</v>
      </c>
      <c r="C88" s="636">
        <v>771</v>
      </c>
      <c r="D88" s="636">
        <v>1777</v>
      </c>
      <c r="E88" s="636">
        <v>251</v>
      </c>
      <c r="F88" s="636">
        <v>631</v>
      </c>
    </row>
    <row r="89" spans="1:6" ht="12.75">
      <c r="A89" s="637" t="s">
        <v>480</v>
      </c>
      <c r="B89" s="638">
        <v>2380</v>
      </c>
      <c r="C89" s="638">
        <v>366</v>
      </c>
      <c r="D89" s="638">
        <v>672</v>
      </c>
      <c r="E89" s="638">
        <v>13</v>
      </c>
      <c r="F89" s="638">
        <v>120</v>
      </c>
    </row>
    <row r="90" spans="1:6" ht="12.75">
      <c r="A90" s="631" t="s">
        <v>481</v>
      </c>
      <c r="B90" s="636">
        <v>1928</v>
      </c>
      <c r="C90" s="636">
        <v>317</v>
      </c>
      <c r="D90" s="636">
        <v>443</v>
      </c>
      <c r="E90" s="636">
        <v>13</v>
      </c>
      <c r="F90" s="636">
        <v>144</v>
      </c>
    </row>
    <row r="91" spans="1:6" ht="12.75">
      <c r="A91" s="637" t="s">
        <v>482</v>
      </c>
      <c r="B91" s="638">
        <v>1776</v>
      </c>
      <c r="C91" s="638">
        <v>315</v>
      </c>
      <c r="D91" s="638">
        <v>316</v>
      </c>
      <c r="E91" s="638">
        <v>18</v>
      </c>
      <c r="F91" s="638">
        <v>104</v>
      </c>
    </row>
    <row r="92" spans="1:6" ht="12.75">
      <c r="A92" s="631" t="s">
        <v>483</v>
      </c>
      <c r="B92" s="636">
        <v>9648</v>
      </c>
      <c r="C92" s="636">
        <v>1653</v>
      </c>
      <c r="D92" s="636">
        <v>2208</v>
      </c>
      <c r="E92" s="636">
        <v>92</v>
      </c>
      <c r="F92" s="636">
        <v>442</v>
      </c>
    </row>
    <row r="93" spans="1:6" ht="12.75">
      <c r="A93" s="637" t="s">
        <v>484</v>
      </c>
      <c r="B93" s="638">
        <v>519</v>
      </c>
      <c r="C93" s="638">
        <v>61</v>
      </c>
      <c r="D93" s="638">
        <v>139</v>
      </c>
      <c r="E93" s="638">
        <v>0</v>
      </c>
      <c r="F93" s="638">
        <v>35</v>
      </c>
    </row>
    <row r="94" spans="1:6" ht="12.75">
      <c r="A94" s="631" t="s">
        <v>485</v>
      </c>
      <c r="B94" s="636">
        <v>254</v>
      </c>
      <c r="C94" s="636">
        <v>59</v>
      </c>
      <c r="D94" s="636">
        <v>92</v>
      </c>
      <c r="E94" s="636">
        <v>0</v>
      </c>
      <c r="F94" s="636">
        <v>8</v>
      </c>
    </row>
    <row r="95" spans="1:6" ht="12.75">
      <c r="A95" s="637" t="s">
        <v>486</v>
      </c>
      <c r="B95" s="638">
        <v>16897</v>
      </c>
      <c r="C95" s="638">
        <v>2724</v>
      </c>
      <c r="D95" s="638">
        <v>3214</v>
      </c>
      <c r="E95" s="638">
        <v>198</v>
      </c>
      <c r="F95" s="638">
        <v>957</v>
      </c>
    </row>
    <row r="96" spans="1:6" ht="12.75">
      <c r="A96" s="631" t="s">
        <v>1105</v>
      </c>
      <c r="B96" s="636">
        <v>560632</v>
      </c>
      <c r="C96" s="636">
        <v>247590</v>
      </c>
      <c r="D96" s="636">
        <v>97733</v>
      </c>
      <c r="E96" s="636">
        <v>2384</v>
      </c>
      <c r="F96" s="636">
        <v>18004</v>
      </c>
    </row>
    <row r="97" spans="1:6" ht="12.75">
      <c r="A97" s="637" t="s">
        <v>1179</v>
      </c>
      <c r="B97" s="638">
        <v>136</v>
      </c>
      <c r="C97" s="638">
        <v>21</v>
      </c>
      <c r="D97" s="638">
        <v>70</v>
      </c>
      <c r="E97" s="638">
        <v>0</v>
      </c>
      <c r="F97" s="638">
        <v>10</v>
      </c>
    </row>
    <row r="98" spans="1:6" ht="12.75">
      <c r="A98" s="631" t="s">
        <v>487</v>
      </c>
      <c r="B98" s="636">
        <v>677</v>
      </c>
      <c r="C98" s="636">
        <v>132</v>
      </c>
      <c r="D98" s="636">
        <v>241</v>
      </c>
      <c r="E98" s="636">
        <v>45</v>
      </c>
      <c r="F98" s="636">
        <v>98</v>
      </c>
    </row>
    <row r="99" spans="1:6" ht="12.75">
      <c r="A99" s="637" t="s">
        <v>488</v>
      </c>
      <c r="B99" s="638">
        <v>153</v>
      </c>
      <c r="C99" s="638">
        <v>71</v>
      </c>
      <c r="D99" s="638">
        <v>72</v>
      </c>
      <c r="E99" s="638">
        <v>2</v>
      </c>
      <c r="F99" s="638">
        <v>17</v>
      </c>
    </row>
    <row r="100" spans="1:6" ht="12.75">
      <c r="A100" s="631" t="s">
        <v>489</v>
      </c>
      <c r="B100" s="636">
        <v>818</v>
      </c>
      <c r="C100" s="636">
        <v>74</v>
      </c>
      <c r="D100" s="636">
        <v>381</v>
      </c>
      <c r="E100" s="636">
        <v>2</v>
      </c>
      <c r="F100" s="636">
        <v>76</v>
      </c>
    </row>
    <row r="101" spans="1:6" ht="12.75">
      <c r="A101" s="637" t="s">
        <v>490</v>
      </c>
      <c r="B101" s="638">
        <v>31</v>
      </c>
      <c r="C101" s="638">
        <v>3</v>
      </c>
      <c r="D101" s="638">
        <v>23</v>
      </c>
      <c r="E101" s="638">
        <v>2</v>
      </c>
      <c r="F101" s="638">
        <v>11</v>
      </c>
    </row>
    <row r="102" spans="1:6" ht="12.75">
      <c r="A102" s="631" t="s">
        <v>491</v>
      </c>
      <c r="B102" s="636">
        <v>3631</v>
      </c>
      <c r="C102" s="636">
        <v>912</v>
      </c>
      <c r="D102" s="636">
        <v>762</v>
      </c>
      <c r="E102" s="636">
        <v>20</v>
      </c>
      <c r="F102" s="636">
        <v>189</v>
      </c>
    </row>
    <row r="103" spans="1:6" ht="12.75">
      <c r="A103" s="637" t="s">
        <v>492</v>
      </c>
      <c r="B103" s="638">
        <v>2823</v>
      </c>
      <c r="C103" s="638">
        <v>1011</v>
      </c>
      <c r="D103" s="638">
        <v>917</v>
      </c>
      <c r="E103" s="638">
        <v>19</v>
      </c>
      <c r="F103" s="638">
        <v>244</v>
      </c>
    </row>
    <row r="104" spans="1:6" ht="12.75">
      <c r="A104" s="631" t="s">
        <v>493</v>
      </c>
      <c r="B104" s="636">
        <v>327</v>
      </c>
      <c r="C104" s="636">
        <v>38</v>
      </c>
      <c r="D104" s="636">
        <v>151</v>
      </c>
      <c r="E104" s="636">
        <v>2</v>
      </c>
      <c r="F104" s="636">
        <v>16</v>
      </c>
    </row>
    <row r="105" spans="1:6" ht="12.75">
      <c r="A105" s="637" t="s">
        <v>495</v>
      </c>
      <c r="B105" s="638">
        <v>195</v>
      </c>
      <c r="C105" s="638">
        <v>38</v>
      </c>
      <c r="D105" s="638">
        <v>85</v>
      </c>
      <c r="E105" s="638">
        <v>0</v>
      </c>
      <c r="F105" s="638">
        <v>26</v>
      </c>
    </row>
    <row r="106" spans="1:6" ht="12.75">
      <c r="A106" s="631" t="s">
        <v>496</v>
      </c>
      <c r="B106" s="636">
        <v>458</v>
      </c>
      <c r="C106" s="636">
        <v>134</v>
      </c>
      <c r="D106" s="636">
        <v>206</v>
      </c>
      <c r="E106" s="636">
        <v>2</v>
      </c>
      <c r="F106" s="636">
        <v>49</v>
      </c>
    </row>
    <row r="107" spans="1:6" ht="12.75">
      <c r="A107" s="637" t="s">
        <v>497</v>
      </c>
      <c r="B107" s="638">
        <v>797</v>
      </c>
      <c r="C107" s="638">
        <v>109</v>
      </c>
      <c r="D107" s="638">
        <v>218</v>
      </c>
      <c r="E107" s="638">
        <v>12</v>
      </c>
      <c r="F107" s="638">
        <v>59</v>
      </c>
    </row>
    <row r="108" spans="1:6" ht="12.75">
      <c r="A108" s="631" t="s">
        <v>494</v>
      </c>
      <c r="B108" s="636">
        <v>1436</v>
      </c>
      <c r="C108" s="636">
        <v>180</v>
      </c>
      <c r="D108" s="636">
        <v>362</v>
      </c>
      <c r="E108" s="636">
        <v>36</v>
      </c>
      <c r="F108" s="636">
        <v>172</v>
      </c>
    </row>
    <row r="109" spans="1:6" ht="12.75">
      <c r="A109" s="637" t="s">
        <v>498</v>
      </c>
      <c r="B109" s="638">
        <v>170</v>
      </c>
      <c r="C109" s="638">
        <v>27</v>
      </c>
      <c r="D109" s="638">
        <v>39</v>
      </c>
      <c r="E109" s="638">
        <v>0</v>
      </c>
      <c r="F109" s="638">
        <v>9</v>
      </c>
    </row>
    <row r="110" spans="1:6" ht="12.75">
      <c r="A110" s="631" t="s">
        <v>499</v>
      </c>
      <c r="B110" s="636">
        <v>185</v>
      </c>
      <c r="C110" s="636">
        <v>27</v>
      </c>
      <c r="D110" s="636">
        <v>66</v>
      </c>
      <c r="E110" s="636">
        <v>0</v>
      </c>
      <c r="F110" s="636">
        <v>8</v>
      </c>
    </row>
    <row r="111" spans="1:6" ht="12.75">
      <c r="A111" s="637" t="s">
        <v>500</v>
      </c>
      <c r="B111" s="638">
        <v>66</v>
      </c>
      <c r="C111" s="638">
        <v>10</v>
      </c>
      <c r="D111" s="638">
        <v>28</v>
      </c>
      <c r="E111" s="638">
        <v>0</v>
      </c>
      <c r="F111" s="638">
        <v>3</v>
      </c>
    </row>
    <row r="112" spans="1:6" ht="12.75">
      <c r="A112" s="631" t="s">
        <v>501</v>
      </c>
      <c r="B112" s="636">
        <v>2725</v>
      </c>
      <c r="C112" s="636">
        <v>312</v>
      </c>
      <c r="D112" s="636">
        <v>751</v>
      </c>
      <c r="E112" s="636">
        <v>71</v>
      </c>
      <c r="F112" s="636">
        <v>207</v>
      </c>
    </row>
    <row r="113" spans="1:6" ht="12.75">
      <c r="A113" s="637" t="s">
        <v>502</v>
      </c>
      <c r="B113" s="638">
        <v>1311</v>
      </c>
      <c r="C113" s="638">
        <v>236</v>
      </c>
      <c r="D113" s="638">
        <v>344</v>
      </c>
      <c r="E113" s="638">
        <v>36</v>
      </c>
      <c r="F113" s="638">
        <v>88</v>
      </c>
    </row>
    <row r="114" spans="1:6" ht="12.75">
      <c r="A114" s="631" t="s">
        <v>503</v>
      </c>
      <c r="B114" s="636">
        <v>1124</v>
      </c>
      <c r="C114" s="636">
        <v>227</v>
      </c>
      <c r="D114" s="636">
        <v>606</v>
      </c>
      <c r="E114" s="636">
        <v>5</v>
      </c>
      <c r="F114" s="636">
        <v>142</v>
      </c>
    </row>
    <row r="115" spans="1:6" ht="12.75">
      <c r="A115" s="637" t="s">
        <v>504</v>
      </c>
      <c r="B115" s="638">
        <v>1401</v>
      </c>
      <c r="C115" s="638">
        <v>138</v>
      </c>
      <c r="D115" s="638">
        <v>327</v>
      </c>
      <c r="E115" s="638">
        <v>6</v>
      </c>
      <c r="F115" s="638">
        <v>83</v>
      </c>
    </row>
    <row r="116" spans="1:6" ht="12.75">
      <c r="A116" s="631" t="s">
        <v>505</v>
      </c>
      <c r="B116" s="636">
        <v>888</v>
      </c>
      <c r="C116" s="636">
        <v>132</v>
      </c>
      <c r="D116" s="636">
        <v>203</v>
      </c>
      <c r="E116" s="636">
        <v>8</v>
      </c>
      <c r="F116" s="636">
        <v>48</v>
      </c>
    </row>
    <row r="117" spans="1:6" ht="12.75">
      <c r="A117" s="637" t="s">
        <v>506</v>
      </c>
      <c r="B117" s="638">
        <v>359</v>
      </c>
      <c r="C117" s="638">
        <v>95</v>
      </c>
      <c r="D117" s="638">
        <v>214</v>
      </c>
      <c r="E117" s="638">
        <v>9</v>
      </c>
      <c r="F117" s="638">
        <v>61</v>
      </c>
    </row>
    <row r="118" spans="1:6" ht="12.75">
      <c r="A118" s="631" t="s">
        <v>507</v>
      </c>
      <c r="B118" s="636">
        <v>661</v>
      </c>
      <c r="C118" s="636">
        <v>110</v>
      </c>
      <c r="D118" s="636">
        <v>261</v>
      </c>
      <c r="E118" s="636">
        <v>1</v>
      </c>
      <c r="F118" s="636">
        <v>53</v>
      </c>
    </row>
    <row r="119" spans="1:6" ht="12.75">
      <c r="A119" s="637" t="s">
        <v>508</v>
      </c>
      <c r="B119" s="638">
        <v>8538</v>
      </c>
      <c r="C119" s="638">
        <v>1190</v>
      </c>
      <c r="D119" s="638">
        <v>2307</v>
      </c>
      <c r="E119" s="638">
        <v>43</v>
      </c>
      <c r="F119" s="638">
        <v>445</v>
      </c>
    </row>
    <row r="120" spans="1:6" ht="12.75">
      <c r="A120" s="631" t="s">
        <v>509</v>
      </c>
      <c r="B120" s="636">
        <v>1355</v>
      </c>
      <c r="C120" s="636">
        <v>203</v>
      </c>
      <c r="D120" s="636">
        <v>397</v>
      </c>
      <c r="E120" s="636">
        <v>17</v>
      </c>
      <c r="F120" s="636">
        <v>93</v>
      </c>
    </row>
    <row r="121" spans="1:6" ht="12.75">
      <c r="A121" s="637" t="s">
        <v>510</v>
      </c>
      <c r="B121" s="638">
        <v>2766</v>
      </c>
      <c r="C121" s="638">
        <v>601</v>
      </c>
      <c r="D121" s="638">
        <v>760</v>
      </c>
      <c r="E121" s="638">
        <v>24</v>
      </c>
      <c r="F121" s="638">
        <v>196</v>
      </c>
    </row>
    <row r="122" spans="1:6" ht="12.75">
      <c r="A122" s="631" t="s">
        <v>511</v>
      </c>
      <c r="B122" s="636">
        <v>134</v>
      </c>
      <c r="C122" s="636">
        <v>34</v>
      </c>
      <c r="D122" s="636">
        <v>66</v>
      </c>
      <c r="E122" s="636">
        <v>3</v>
      </c>
      <c r="F122" s="636">
        <v>16</v>
      </c>
    </row>
    <row r="123" spans="1:6" ht="12.75">
      <c r="A123" s="637" t="s">
        <v>512</v>
      </c>
      <c r="B123" s="638">
        <v>5408</v>
      </c>
      <c r="C123" s="638">
        <v>1188</v>
      </c>
      <c r="D123" s="638">
        <v>1250</v>
      </c>
      <c r="E123" s="638">
        <v>28</v>
      </c>
      <c r="F123" s="638">
        <v>269</v>
      </c>
    </row>
    <row r="124" spans="1:6" ht="12.75">
      <c r="A124" s="631" t="s">
        <v>513</v>
      </c>
      <c r="B124" s="636">
        <v>133</v>
      </c>
      <c r="C124" s="636">
        <v>20</v>
      </c>
      <c r="D124" s="636">
        <v>56</v>
      </c>
      <c r="E124" s="636">
        <v>2</v>
      </c>
      <c r="F124" s="636">
        <v>14</v>
      </c>
    </row>
    <row r="125" spans="1:6" ht="12.75">
      <c r="A125" s="637" t="s">
        <v>1180</v>
      </c>
      <c r="B125" s="638">
        <v>5509</v>
      </c>
      <c r="C125" s="638">
        <v>950</v>
      </c>
      <c r="D125" s="638">
        <v>1555</v>
      </c>
      <c r="E125" s="638">
        <v>25</v>
      </c>
      <c r="F125" s="638">
        <v>173</v>
      </c>
    </row>
    <row r="126" spans="1:6" ht="12.75">
      <c r="A126" s="631" t="s">
        <v>1181</v>
      </c>
      <c r="B126" s="636">
        <v>102</v>
      </c>
      <c r="C126" s="636">
        <v>28</v>
      </c>
      <c r="D126" s="636">
        <v>51</v>
      </c>
      <c r="E126" s="636">
        <v>0</v>
      </c>
      <c r="F126" s="636">
        <v>9</v>
      </c>
    </row>
    <row r="127" spans="1:6" ht="12.75">
      <c r="A127" s="637" t="s">
        <v>1182</v>
      </c>
      <c r="B127" s="638">
        <v>2017</v>
      </c>
      <c r="C127" s="638">
        <v>385</v>
      </c>
      <c r="D127" s="638">
        <v>474</v>
      </c>
      <c r="E127" s="638">
        <v>7</v>
      </c>
      <c r="F127" s="638">
        <v>97</v>
      </c>
    </row>
    <row r="128" spans="1:6" ht="12.75">
      <c r="A128" s="631" t="s">
        <v>514</v>
      </c>
      <c r="B128" s="636">
        <v>163</v>
      </c>
      <c r="C128" s="636">
        <v>49</v>
      </c>
      <c r="D128" s="636">
        <v>64</v>
      </c>
      <c r="E128" s="636">
        <v>0</v>
      </c>
      <c r="F128" s="636">
        <v>11</v>
      </c>
    </row>
    <row r="129" spans="1:6" ht="12.75">
      <c r="A129" s="637" t="s">
        <v>515</v>
      </c>
      <c r="B129" s="638">
        <v>265</v>
      </c>
      <c r="C129" s="638">
        <v>51</v>
      </c>
      <c r="D129" s="638">
        <v>81</v>
      </c>
      <c r="E129" s="638">
        <v>0</v>
      </c>
      <c r="F129" s="638">
        <v>15</v>
      </c>
    </row>
    <row r="130" spans="1:6" ht="12.75">
      <c r="A130" s="631" t="s">
        <v>516</v>
      </c>
      <c r="B130" s="636">
        <v>19242</v>
      </c>
      <c r="C130" s="636">
        <v>6851</v>
      </c>
      <c r="D130" s="636">
        <v>3711</v>
      </c>
      <c r="E130" s="636">
        <v>65</v>
      </c>
      <c r="F130" s="636">
        <v>474</v>
      </c>
    </row>
    <row r="131" spans="1:6" ht="12.75">
      <c r="A131" s="637" t="s">
        <v>517</v>
      </c>
      <c r="B131" s="638">
        <v>166</v>
      </c>
      <c r="C131" s="638">
        <v>57</v>
      </c>
      <c r="D131" s="638">
        <v>82</v>
      </c>
      <c r="E131" s="638">
        <v>0</v>
      </c>
      <c r="F131" s="638">
        <v>8</v>
      </c>
    </row>
    <row r="132" spans="1:6" ht="12.75">
      <c r="A132" s="631" t="s">
        <v>518</v>
      </c>
      <c r="B132" s="636">
        <v>232</v>
      </c>
      <c r="C132" s="636">
        <v>57</v>
      </c>
      <c r="D132" s="636">
        <v>109</v>
      </c>
      <c r="E132" s="636">
        <v>2</v>
      </c>
      <c r="F132" s="636">
        <v>19</v>
      </c>
    </row>
    <row r="133" spans="1:6" ht="12.75">
      <c r="A133" s="637" t="s">
        <v>519</v>
      </c>
      <c r="B133" s="638">
        <v>372</v>
      </c>
      <c r="C133" s="638">
        <v>90</v>
      </c>
      <c r="D133" s="638">
        <v>117</v>
      </c>
      <c r="E133" s="638">
        <v>0</v>
      </c>
      <c r="F133" s="638">
        <v>20</v>
      </c>
    </row>
    <row r="134" spans="1:6" ht="12.75">
      <c r="A134" s="631" t="s">
        <v>520</v>
      </c>
      <c r="B134" s="636">
        <v>149</v>
      </c>
      <c r="C134" s="636">
        <v>29</v>
      </c>
      <c r="D134" s="636">
        <v>57</v>
      </c>
      <c r="E134" s="636">
        <v>0</v>
      </c>
      <c r="F134" s="636">
        <v>8</v>
      </c>
    </row>
    <row r="135" spans="1:6" ht="12.75">
      <c r="A135" s="637" t="s">
        <v>521</v>
      </c>
      <c r="B135" s="638">
        <v>1077</v>
      </c>
      <c r="C135" s="638">
        <v>159</v>
      </c>
      <c r="D135" s="638">
        <v>247</v>
      </c>
      <c r="E135" s="638">
        <v>10</v>
      </c>
      <c r="F135" s="638">
        <v>58</v>
      </c>
    </row>
    <row r="136" spans="1:6" ht="12.75">
      <c r="A136" s="631" t="s">
        <v>1183</v>
      </c>
      <c r="B136" s="636">
        <v>3100</v>
      </c>
      <c r="C136" s="636">
        <v>394</v>
      </c>
      <c r="D136" s="636">
        <v>780</v>
      </c>
      <c r="E136" s="636">
        <v>32</v>
      </c>
      <c r="F136" s="636">
        <v>188</v>
      </c>
    </row>
    <row r="137" spans="1:6" ht="12.75">
      <c r="A137" s="637" t="s">
        <v>1184</v>
      </c>
      <c r="B137" s="638">
        <v>1135</v>
      </c>
      <c r="C137" s="638">
        <v>253</v>
      </c>
      <c r="D137" s="638">
        <v>323</v>
      </c>
      <c r="E137" s="638">
        <v>6</v>
      </c>
      <c r="F137" s="638">
        <v>74</v>
      </c>
    </row>
    <row r="138" spans="1:6" ht="12.75">
      <c r="A138" s="631" t="s">
        <v>522</v>
      </c>
      <c r="B138" s="636">
        <v>486</v>
      </c>
      <c r="C138" s="636">
        <v>124</v>
      </c>
      <c r="D138" s="636">
        <v>179</v>
      </c>
      <c r="E138" s="636">
        <v>15</v>
      </c>
      <c r="F138" s="636">
        <v>43</v>
      </c>
    </row>
    <row r="139" spans="1:6" ht="12.75">
      <c r="A139" s="637" t="s">
        <v>523</v>
      </c>
      <c r="B139" s="638">
        <v>293</v>
      </c>
      <c r="C139" s="638">
        <v>78</v>
      </c>
      <c r="D139" s="638">
        <v>135</v>
      </c>
      <c r="E139" s="638">
        <v>4</v>
      </c>
      <c r="F139" s="638">
        <v>25</v>
      </c>
    </row>
    <row r="140" spans="1:6" ht="12.75">
      <c r="A140" s="631" t="s">
        <v>524</v>
      </c>
      <c r="B140" s="636">
        <v>593</v>
      </c>
      <c r="C140" s="636">
        <v>109</v>
      </c>
      <c r="D140" s="636">
        <v>205</v>
      </c>
      <c r="E140" s="636">
        <v>0</v>
      </c>
      <c r="F140" s="636">
        <v>38</v>
      </c>
    </row>
    <row r="141" spans="1:6" ht="12.75">
      <c r="A141" s="637" t="s">
        <v>525</v>
      </c>
      <c r="B141" s="638">
        <v>288</v>
      </c>
      <c r="C141" s="638">
        <v>36</v>
      </c>
      <c r="D141" s="638">
        <v>135</v>
      </c>
      <c r="E141" s="638">
        <v>0</v>
      </c>
      <c r="F141" s="638">
        <v>7</v>
      </c>
    </row>
    <row r="142" spans="1:6" ht="12.75">
      <c r="A142" s="631" t="s">
        <v>526</v>
      </c>
      <c r="B142" s="636">
        <v>668</v>
      </c>
      <c r="C142" s="636">
        <v>145</v>
      </c>
      <c r="D142" s="636">
        <v>192</v>
      </c>
      <c r="E142" s="636">
        <v>2</v>
      </c>
      <c r="F142" s="636">
        <v>43</v>
      </c>
    </row>
    <row r="143" spans="1:6" ht="12.75">
      <c r="A143" s="637" t="s">
        <v>527</v>
      </c>
      <c r="B143" s="638">
        <v>171</v>
      </c>
      <c r="C143" s="638">
        <v>30</v>
      </c>
      <c r="D143" s="638">
        <v>56</v>
      </c>
      <c r="E143" s="638">
        <v>0</v>
      </c>
      <c r="F143" s="638">
        <v>25</v>
      </c>
    </row>
    <row r="144" spans="1:6" ht="12.75">
      <c r="A144" s="631" t="s">
        <v>528</v>
      </c>
      <c r="B144" s="636">
        <v>421</v>
      </c>
      <c r="C144" s="636">
        <v>109</v>
      </c>
      <c r="D144" s="636">
        <v>106</v>
      </c>
      <c r="E144" s="636">
        <v>0</v>
      </c>
      <c r="F144" s="636">
        <v>27</v>
      </c>
    </row>
    <row r="145" spans="1:6" ht="12.75">
      <c r="A145" s="637" t="s">
        <v>529</v>
      </c>
      <c r="B145" s="638">
        <v>2123</v>
      </c>
      <c r="C145" s="638">
        <v>406</v>
      </c>
      <c r="D145" s="638">
        <v>502</v>
      </c>
      <c r="E145" s="638">
        <v>17</v>
      </c>
      <c r="F145" s="638">
        <v>96</v>
      </c>
    </row>
    <row r="146" spans="1:6" ht="12.75">
      <c r="A146" s="631" t="s">
        <v>1185</v>
      </c>
      <c r="B146" s="636">
        <v>1134</v>
      </c>
      <c r="C146" s="636">
        <v>250</v>
      </c>
      <c r="D146" s="636">
        <v>331</v>
      </c>
      <c r="E146" s="636">
        <v>12</v>
      </c>
      <c r="F146" s="636">
        <v>80</v>
      </c>
    </row>
    <row r="147" spans="1:6" ht="12.75">
      <c r="A147" s="637" t="s">
        <v>1186</v>
      </c>
      <c r="B147" s="638">
        <v>165</v>
      </c>
      <c r="C147" s="638">
        <v>55</v>
      </c>
      <c r="D147" s="638">
        <v>54</v>
      </c>
      <c r="E147" s="638">
        <v>0</v>
      </c>
      <c r="F147" s="638">
        <v>12</v>
      </c>
    </row>
    <row r="148" spans="1:6" ht="12.75">
      <c r="A148" s="631" t="s">
        <v>1187</v>
      </c>
      <c r="B148" s="636">
        <v>276</v>
      </c>
      <c r="C148" s="636">
        <v>49</v>
      </c>
      <c r="D148" s="636">
        <v>158</v>
      </c>
      <c r="E148" s="636">
        <v>1</v>
      </c>
      <c r="F148" s="636">
        <v>27</v>
      </c>
    </row>
    <row r="149" spans="1:6" ht="12.75">
      <c r="A149" s="637" t="s">
        <v>530</v>
      </c>
      <c r="B149" s="638">
        <v>178</v>
      </c>
      <c r="C149" s="638">
        <v>37</v>
      </c>
      <c r="D149" s="638">
        <v>85</v>
      </c>
      <c r="E149" s="638">
        <v>0</v>
      </c>
      <c r="F149" s="638">
        <v>17</v>
      </c>
    </row>
    <row r="150" spans="1:6" ht="12.75">
      <c r="A150" s="631" t="s">
        <v>531</v>
      </c>
      <c r="B150" s="636">
        <v>53</v>
      </c>
      <c r="C150" s="636">
        <v>4</v>
      </c>
      <c r="D150" s="636">
        <v>17</v>
      </c>
      <c r="E150" s="636">
        <v>5</v>
      </c>
      <c r="F150" s="636">
        <v>7</v>
      </c>
    </row>
    <row r="151" spans="1:6" ht="12.75">
      <c r="A151" s="637" t="s">
        <v>532</v>
      </c>
      <c r="B151" s="638">
        <v>208</v>
      </c>
      <c r="C151" s="638">
        <v>41</v>
      </c>
      <c r="D151" s="638">
        <v>104</v>
      </c>
      <c r="E151" s="638">
        <v>15</v>
      </c>
      <c r="F151" s="638">
        <v>29</v>
      </c>
    </row>
    <row r="152" spans="1:6" ht="12.75">
      <c r="A152" s="631" t="s">
        <v>533</v>
      </c>
      <c r="B152" s="636">
        <v>593</v>
      </c>
      <c r="C152" s="636">
        <v>128</v>
      </c>
      <c r="D152" s="636">
        <v>290</v>
      </c>
      <c r="E152" s="636">
        <v>5</v>
      </c>
      <c r="F152" s="636">
        <v>63</v>
      </c>
    </row>
    <row r="153" spans="1:6" ht="12.75">
      <c r="A153" s="637" t="s">
        <v>1188</v>
      </c>
      <c r="B153" s="638">
        <v>3995</v>
      </c>
      <c r="C153" s="638">
        <v>165</v>
      </c>
      <c r="D153" s="638">
        <v>835</v>
      </c>
      <c r="E153" s="638">
        <v>23</v>
      </c>
      <c r="F153" s="638">
        <v>1290</v>
      </c>
    </row>
    <row r="154" spans="1:6" ht="12.75">
      <c r="A154" s="631" t="s">
        <v>534</v>
      </c>
      <c r="B154" s="636">
        <v>59</v>
      </c>
      <c r="C154" s="636">
        <v>9</v>
      </c>
      <c r="D154" s="636">
        <v>29</v>
      </c>
      <c r="E154" s="636">
        <v>0</v>
      </c>
      <c r="F154" s="636">
        <v>6</v>
      </c>
    </row>
    <row r="155" spans="1:6" ht="12.75">
      <c r="A155" s="637" t="s">
        <v>535</v>
      </c>
      <c r="B155" s="638">
        <v>759</v>
      </c>
      <c r="C155" s="638">
        <v>128</v>
      </c>
      <c r="D155" s="638">
        <v>194</v>
      </c>
      <c r="E155" s="638">
        <v>0</v>
      </c>
      <c r="F155" s="638">
        <v>32</v>
      </c>
    </row>
    <row r="156" spans="1:6" ht="12.75">
      <c r="A156" s="631" t="s">
        <v>536</v>
      </c>
      <c r="B156" s="636">
        <v>789</v>
      </c>
      <c r="C156" s="636">
        <v>142</v>
      </c>
      <c r="D156" s="636">
        <v>172</v>
      </c>
      <c r="E156" s="636">
        <v>3</v>
      </c>
      <c r="F156" s="636">
        <v>28</v>
      </c>
    </row>
    <row r="157" spans="1:6" ht="12.75">
      <c r="A157" s="637" t="s">
        <v>537</v>
      </c>
      <c r="B157" s="638">
        <v>2946</v>
      </c>
      <c r="C157" s="638">
        <v>944</v>
      </c>
      <c r="D157" s="638">
        <v>874</v>
      </c>
      <c r="E157" s="638">
        <v>18</v>
      </c>
      <c r="F157" s="638">
        <v>436</v>
      </c>
    </row>
    <row r="158" spans="1:6" ht="12.75">
      <c r="A158" s="631" t="s">
        <v>538</v>
      </c>
      <c r="B158" s="636">
        <v>3920</v>
      </c>
      <c r="C158" s="636">
        <v>1328</v>
      </c>
      <c r="D158" s="636">
        <v>789</v>
      </c>
      <c r="E158" s="636">
        <v>1</v>
      </c>
      <c r="F158" s="636">
        <v>126</v>
      </c>
    </row>
    <row r="159" spans="1:6" ht="12.75">
      <c r="A159" s="637" t="s">
        <v>539</v>
      </c>
      <c r="B159" s="638">
        <v>1213</v>
      </c>
      <c r="C159" s="638">
        <v>1157</v>
      </c>
      <c r="D159" s="638">
        <v>401</v>
      </c>
      <c r="E159" s="638">
        <v>1</v>
      </c>
      <c r="F159" s="638">
        <v>82</v>
      </c>
    </row>
    <row r="160" spans="1:6" ht="12.75">
      <c r="A160" s="631" t="s">
        <v>540</v>
      </c>
      <c r="B160" s="636">
        <v>1830</v>
      </c>
      <c r="C160" s="636">
        <v>209</v>
      </c>
      <c r="D160" s="636">
        <v>515</v>
      </c>
      <c r="E160" s="636">
        <v>17</v>
      </c>
      <c r="F160" s="636">
        <v>121</v>
      </c>
    </row>
    <row r="161" spans="1:6" ht="12.75">
      <c r="A161" s="637" t="s">
        <v>541</v>
      </c>
      <c r="B161" s="638">
        <v>12296</v>
      </c>
      <c r="C161" s="638">
        <v>2076</v>
      </c>
      <c r="D161" s="638">
        <v>2059</v>
      </c>
      <c r="E161" s="638">
        <v>38</v>
      </c>
      <c r="F161" s="638">
        <v>247</v>
      </c>
    </row>
    <row r="162" spans="1:6" ht="12.75">
      <c r="A162" s="631" t="s">
        <v>542</v>
      </c>
      <c r="B162" s="636">
        <v>601</v>
      </c>
      <c r="C162" s="636">
        <v>125</v>
      </c>
      <c r="D162" s="636">
        <v>192</v>
      </c>
      <c r="E162" s="636">
        <v>0</v>
      </c>
      <c r="F162" s="636">
        <v>43</v>
      </c>
    </row>
    <row r="163" spans="1:6" ht="12.75">
      <c r="A163" s="637" t="s">
        <v>543</v>
      </c>
      <c r="B163" s="638">
        <v>1510</v>
      </c>
      <c r="C163" s="638">
        <v>416</v>
      </c>
      <c r="D163" s="638">
        <v>222</v>
      </c>
      <c r="E163" s="638">
        <v>5</v>
      </c>
      <c r="F163" s="638">
        <v>24</v>
      </c>
    </row>
    <row r="164" spans="1:6" ht="12.75">
      <c r="A164" s="631" t="s">
        <v>544</v>
      </c>
      <c r="B164" s="636">
        <v>4179</v>
      </c>
      <c r="C164" s="636">
        <v>595</v>
      </c>
      <c r="D164" s="636">
        <v>954</v>
      </c>
      <c r="E164" s="636">
        <v>34</v>
      </c>
      <c r="F164" s="636">
        <v>213</v>
      </c>
    </row>
    <row r="165" spans="1:6" ht="12.75">
      <c r="A165" s="637" t="s">
        <v>545</v>
      </c>
      <c r="B165" s="638">
        <v>9107</v>
      </c>
      <c r="C165" s="638">
        <v>1576</v>
      </c>
      <c r="D165" s="638">
        <v>2138</v>
      </c>
      <c r="E165" s="638">
        <v>51</v>
      </c>
      <c r="F165" s="638">
        <v>492</v>
      </c>
    </row>
    <row r="166" spans="1:6" ht="12.75">
      <c r="A166" s="631" t="s">
        <v>546</v>
      </c>
      <c r="B166" s="636">
        <v>7538</v>
      </c>
      <c r="C166" s="636">
        <v>1830</v>
      </c>
      <c r="D166" s="636">
        <v>1377</v>
      </c>
      <c r="E166" s="636">
        <v>23</v>
      </c>
      <c r="F166" s="636">
        <v>132</v>
      </c>
    </row>
    <row r="167" spans="1:6" ht="12.75">
      <c r="A167" s="637" t="s">
        <v>547</v>
      </c>
      <c r="B167" s="638">
        <v>1430</v>
      </c>
      <c r="C167" s="638">
        <v>323</v>
      </c>
      <c r="D167" s="638">
        <v>454</v>
      </c>
      <c r="E167" s="638">
        <v>14</v>
      </c>
      <c r="F167" s="638">
        <v>118</v>
      </c>
    </row>
    <row r="168" spans="1:6" ht="12.75">
      <c r="A168" s="631" t="s">
        <v>548</v>
      </c>
      <c r="B168" s="636">
        <v>1147</v>
      </c>
      <c r="C168" s="636">
        <v>177</v>
      </c>
      <c r="D168" s="636">
        <v>284</v>
      </c>
      <c r="E168" s="636">
        <v>17</v>
      </c>
      <c r="F168" s="636">
        <v>78</v>
      </c>
    </row>
    <row r="169" spans="1:6" ht="12.75">
      <c r="A169" s="637" t="s">
        <v>549</v>
      </c>
      <c r="B169" s="638">
        <v>122</v>
      </c>
      <c r="C169" s="638">
        <v>20</v>
      </c>
      <c r="D169" s="638">
        <v>62</v>
      </c>
      <c r="E169" s="638">
        <v>1</v>
      </c>
      <c r="F169" s="638">
        <v>16</v>
      </c>
    </row>
    <row r="170" spans="1:6" ht="12.75">
      <c r="A170" s="631" t="s">
        <v>1189</v>
      </c>
      <c r="B170" s="636">
        <v>6419</v>
      </c>
      <c r="C170" s="636">
        <v>1610</v>
      </c>
      <c r="D170" s="636">
        <v>1696</v>
      </c>
      <c r="E170" s="636">
        <v>3</v>
      </c>
      <c r="F170" s="636">
        <v>161</v>
      </c>
    </row>
    <row r="171" spans="1:6" ht="12.75">
      <c r="A171" s="637" t="s">
        <v>550</v>
      </c>
      <c r="B171" s="638">
        <v>550</v>
      </c>
      <c r="C171" s="638">
        <v>84</v>
      </c>
      <c r="D171" s="638">
        <v>183</v>
      </c>
      <c r="E171" s="638">
        <v>4</v>
      </c>
      <c r="F171" s="638">
        <v>51</v>
      </c>
    </row>
    <row r="172" spans="1:6" ht="12.75">
      <c r="A172" s="631" t="s">
        <v>551</v>
      </c>
      <c r="B172" s="636">
        <v>1651</v>
      </c>
      <c r="C172" s="636">
        <v>226</v>
      </c>
      <c r="D172" s="636">
        <v>953</v>
      </c>
      <c r="E172" s="636">
        <v>9</v>
      </c>
      <c r="F172" s="636">
        <v>111</v>
      </c>
    </row>
    <row r="173" spans="1:6" ht="12.75">
      <c r="A173" s="637" t="s">
        <v>552</v>
      </c>
      <c r="B173" s="638">
        <v>16768</v>
      </c>
      <c r="C173" s="638">
        <v>3911</v>
      </c>
      <c r="D173" s="638">
        <v>3255</v>
      </c>
      <c r="E173" s="638">
        <v>97</v>
      </c>
      <c r="F173" s="638">
        <v>526</v>
      </c>
    </row>
    <row r="174" spans="1:6" ht="12.75">
      <c r="A174" s="631" t="s">
        <v>553</v>
      </c>
      <c r="B174" s="636">
        <v>402</v>
      </c>
      <c r="C174" s="636">
        <v>114</v>
      </c>
      <c r="D174" s="636">
        <v>158</v>
      </c>
      <c r="E174" s="636">
        <v>14</v>
      </c>
      <c r="F174" s="636">
        <v>63</v>
      </c>
    </row>
    <row r="175" spans="1:6" ht="12.75">
      <c r="A175" s="637" t="s">
        <v>554</v>
      </c>
      <c r="B175" s="638">
        <v>1807</v>
      </c>
      <c r="C175" s="638">
        <v>316</v>
      </c>
      <c r="D175" s="638">
        <v>525</v>
      </c>
      <c r="E175" s="638">
        <v>10</v>
      </c>
      <c r="F175" s="638">
        <v>140</v>
      </c>
    </row>
    <row r="176" spans="1:6" ht="12.75">
      <c r="A176" s="631" t="s">
        <v>555</v>
      </c>
      <c r="B176" s="636">
        <v>83</v>
      </c>
      <c r="C176" s="636">
        <v>19</v>
      </c>
      <c r="D176" s="636">
        <v>80</v>
      </c>
      <c r="E176" s="636">
        <v>4</v>
      </c>
      <c r="F176" s="636">
        <v>17</v>
      </c>
    </row>
    <row r="177" spans="1:6" ht="12.75">
      <c r="A177" s="637" t="s">
        <v>556</v>
      </c>
      <c r="B177" s="638">
        <v>297</v>
      </c>
      <c r="C177" s="638">
        <v>64</v>
      </c>
      <c r="D177" s="638">
        <v>100</v>
      </c>
      <c r="E177" s="638">
        <v>0</v>
      </c>
      <c r="F177" s="638">
        <v>12</v>
      </c>
    </row>
    <row r="178" spans="1:6" ht="12.75">
      <c r="A178" s="631" t="s">
        <v>557</v>
      </c>
      <c r="B178" s="636">
        <v>394</v>
      </c>
      <c r="C178" s="636">
        <v>51</v>
      </c>
      <c r="D178" s="636">
        <v>195</v>
      </c>
      <c r="E178" s="636">
        <v>12</v>
      </c>
      <c r="F178" s="636">
        <v>98</v>
      </c>
    </row>
    <row r="179" spans="1:6" ht="12.75">
      <c r="A179" s="637" t="s">
        <v>558</v>
      </c>
      <c r="B179" s="638">
        <v>1161</v>
      </c>
      <c r="C179" s="638">
        <v>290</v>
      </c>
      <c r="D179" s="638">
        <v>490</v>
      </c>
      <c r="E179" s="638">
        <v>2</v>
      </c>
      <c r="F179" s="638">
        <v>75</v>
      </c>
    </row>
    <row r="180" spans="1:6" ht="12.75">
      <c r="A180" s="631" t="s">
        <v>559</v>
      </c>
      <c r="B180" s="636">
        <v>51</v>
      </c>
      <c r="C180" s="636">
        <v>11</v>
      </c>
      <c r="D180" s="636">
        <v>27</v>
      </c>
      <c r="E180" s="636">
        <v>0</v>
      </c>
      <c r="F180" s="636">
        <v>5</v>
      </c>
    </row>
    <row r="181" spans="1:6" ht="12.75">
      <c r="A181" s="637" t="s">
        <v>560</v>
      </c>
      <c r="B181" s="638">
        <v>455</v>
      </c>
      <c r="C181" s="638">
        <v>114</v>
      </c>
      <c r="D181" s="638">
        <v>218</v>
      </c>
      <c r="E181" s="638">
        <v>16</v>
      </c>
      <c r="F181" s="638">
        <v>54</v>
      </c>
    </row>
    <row r="182" spans="1:6" ht="12.75">
      <c r="A182" s="631" t="s">
        <v>561</v>
      </c>
      <c r="B182" s="636">
        <v>6247</v>
      </c>
      <c r="C182" s="636">
        <v>1619</v>
      </c>
      <c r="D182" s="636">
        <v>1152</v>
      </c>
      <c r="E182" s="636">
        <v>24</v>
      </c>
      <c r="F182" s="636">
        <v>221</v>
      </c>
    </row>
    <row r="183" spans="1:6" ht="12.75">
      <c r="A183" s="637" t="s">
        <v>1190</v>
      </c>
      <c r="B183" s="638">
        <v>2517</v>
      </c>
      <c r="C183" s="638">
        <v>424</v>
      </c>
      <c r="D183" s="638">
        <v>445</v>
      </c>
      <c r="E183" s="638">
        <v>13</v>
      </c>
      <c r="F183" s="638">
        <v>81</v>
      </c>
    </row>
    <row r="184" spans="1:6" ht="12.75">
      <c r="A184" s="631" t="s">
        <v>562</v>
      </c>
      <c r="B184" s="636">
        <v>7834</v>
      </c>
      <c r="C184" s="636">
        <v>997</v>
      </c>
      <c r="D184" s="636">
        <v>1595</v>
      </c>
      <c r="E184" s="636">
        <v>82</v>
      </c>
      <c r="F184" s="636">
        <v>310</v>
      </c>
    </row>
    <row r="185" spans="1:6" ht="12.75">
      <c r="A185" s="637" t="s">
        <v>563</v>
      </c>
      <c r="B185" s="638">
        <v>1819</v>
      </c>
      <c r="C185" s="638">
        <v>389</v>
      </c>
      <c r="D185" s="638">
        <v>464</v>
      </c>
      <c r="E185" s="638">
        <v>3</v>
      </c>
      <c r="F185" s="638">
        <v>86</v>
      </c>
    </row>
    <row r="186" spans="1:6" ht="12.75">
      <c r="A186" s="631" t="s">
        <v>564</v>
      </c>
      <c r="B186" s="636">
        <v>175</v>
      </c>
      <c r="C186" s="636">
        <v>44</v>
      </c>
      <c r="D186" s="636">
        <v>95</v>
      </c>
      <c r="E186" s="636">
        <v>0</v>
      </c>
      <c r="F186" s="636">
        <v>15</v>
      </c>
    </row>
    <row r="187" spans="1:6" ht="12.75">
      <c r="A187" s="637" t="s">
        <v>565</v>
      </c>
      <c r="B187" s="638">
        <v>2508</v>
      </c>
      <c r="C187" s="638">
        <v>689</v>
      </c>
      <c r="D187" s="638">
        <v>508</v>
      </c>
      <c r="E187" s="638">
        <v>10</v>
      </c>
      <c r="F187" s="638">
        <v>108</v>
      </c>
    </row>
    <row r="188" spans="1:6" ht="12.75">
      <c r="A188" s="631" t="s">
        <v>566</v>
      </c>
      <c r="B188" s="636">
        <v>62</v>
      </c>
      <c r="C188" s="636">
        <v>16</v>
      </c>
      <c r="D188" s="636">
        <v>39</v>
      </c>
      <c r="E188" s="636">
        <v>0</v>
      </c>
      <c r="F188" s="636">
        <v>4</v>
      </c>
    </row>
    <row r="189" spans="1:6" ht="12.75">
      <c r="A189" s="637" t="s">
        <v>567</v>
      </c>
      <c r="B189" s="638">
        <v>228</v>
      </c>
      <c r="C189" s="638">
        <v>56</v>
      </c>
      <c r="D189" s="638">
        <v>99</v>
      </c>
      <c r="E189" s="638">
        <v>0</v>
      </c>
      <c r="F189" s="638">
        <v>12</v>
      </c>
    </row>
    <row r="190" spans="1:6" ht="12.75">
      <c r="A190" s="631" t="s">
        <v>568</v>
      </c>
      <c r="B190" s="636">
        <v>2688</v>
      </c>
      <c r="C190" s="636">
        <v>416</v>
      </c>
      <c r="D190" s="636">
        <v>457</v>
      </c>
      <c r="E190" s="636">
        <v>21</v>
      </c>
      <c r="F190" s="636">
        <v>167</v>
      </c>
    </row>
    <row r="191" spans="1:6" ht="12.75">
      <c r="A191" s="637" t="s">
        <v>569</v>
      </c>
      <c r="B191" s="638">
        <v>373</v>
      </c>
      <c r="C191" s="638">
        <v>58</v>
      </c>
      <c r="D191" s="638">
        <v>161</v>
      </c>
      <c r="E191" s="638">
        <v>1</v>
      </c>
      <c r="F191" s="638">
        <v>22</v>
      </c>
    </row>
    <row r="192" spans="1:6" ht="12.75">
      <c r="A192" s="631" t="s">
        <v>570</v>
      </c>
      <c r="B192" s="636">
        <v>72</v>
      </c>
      <c r="C192" s="636">
        <v>8</v>
      </c>
      <c r="D192" s="636">
        <v>69</v>
      </c>
      <c r="E192" s="636">
        <v>25</v>
      </c>
      <c r="F192" s="636">
        <v>46</v>
      </c>
    </row>
    <row r="193" spans="1:6" ht="12.75">
      <c r="A193" s="637" t="s">
        <v>571</v>
      </c>
      <c r="B193" s="638">
        <v>8880</v>
      </c>
      <c r="C193" s="638">
        <v>1568</v>
      </c>
      <c r="D193" s="638">
        <v>1693</v>
      </c>
      <c r="E193" s="638">
        <v>22</v>
      </c>
      <c r="F193" s="638">
        <v>286</v>
      </c>
    </row>
    <row r="194" spans="1:6" ht="12.75">
      <c r="A194" s="631" t="s">
        <v>572</v>
      </c>
      <c r="B194" s="636">
        <v>2651</v>
      </c>
      <c r="C194" s="636">
        <v>395</v>
      </c>
      <c r="D194" s="636">
        <v>731</v>
      </c>
      <c r="E194" s="636">
        <v>10</v>
      </c>
      <c r="F194" s="636">
        <v>161</v>
      </c>
    </row>
    <row r="195" spans="1:6" ht="12.75">
      <c r="A195" s="637" t="s">
        <v>573</v>
      </c>
      <c r="B195" s="638">
        <v>482</v>
      </c>
      <c r="C195" s="638">
        <v>60</v>
      </c>
      <c r="D195" s="638">
        <v>118</v>
      </c>
      <c r="E195" s="638">
        <v>17</v>
      </c>
      <c r="F195" s="638">
        <v>49</v>
      </c>
    </row>
    <row r="196" spans="1:6" ht="12.75">
      <c r="A196" s="631" t="s">
        <v>574</v>
      </c>
      <c r="B196" s="636">
        <v>135</v>
      </c>
      <c r="C196" s="636">
        <v>18</v>
      </c>
      <c r="D196" s="636">
        <v>59</v>
      </c>
      <c r="E196" s="636">
        <v>0</v>
      </c>
      <c r="F196" s="636">
        <v>8</v>
      </c>
    </row>
    <row r="197" spans="1:6" ht="12.75">
      <c r="A197" s="637" t="s">
        <v>575</v>
      </c>
      <c r="B197" s="638">
        <v>5520</v>
      </c>
      <c r="C197" s="638">
        <v>726</v>
      </c>
      <c r="D197" s="638">
        <v>1522</v>
      </c>
      <c r="E197" s="638">
        <v>43</v>
      </c>
      <c r="F197" s="638">
        <v>349</v>
      </c>
    </row>
    <row r="198" spans="1:6" ht="12.75">
      <c r="A198" s="631" t="s">
        <v>576</v>
      </c>
      <c r="B198" s="636">
        <v>1062</v>
      </c>
      <c r="C198" s="636">
        <v>219</v>
      </c>
      <c r="D198" s="636">
        <v>395</v>
      </c>
      <c r="E198" s="636">
        <v>18</v>
      </c>
      <c r="F198" s="636">
        <v>97</v>
      </c>
    </row>
    <row r="199" spans="1:6" ht="12.75">
      <c r="A199" s="637" t="s">
        <v>577</v>
      </c>
      <c r="B199" s="638">
        <v>94</v>
      </c>
      <c r="C199" s="638">
        <v>17</v>
      </c>
      <c r="D199" s="638">
        <v>43</v>
      </c>
      <c r="E199" s="638">
        <v>0</v>
      </c>
      <c r="F199" s="638">
        <v>1</v>
      </c>
    </row>
    <row r="200" spans="1:6" ht="12.75">
      <c r="A200" s="631" t="s">
        <v>578</v>
      </c>
      <c r="B200" s="636">
        <v>94</v>
      </c>
      <c r="C200" s="636">
        <v>13</v>
      </c>
      <c r="D200" s="636">
        <v>25</v>
      </c>
      <c r="E200" s="636">
        <v>0</v>
      </c>
      <c r="F200" s="636">
        <v>5</v>
      </c>
    </row>
    <row r="201" spans="1:6" ht="12.75">
      <c r="A201" s="637" t="s">
        <v>580</v>
      </c>
      <c r="B201" s="638">
        <v>110</v>
      </c>
      <c r="C201" s="638">
        <v>15</v>
      </c>
      <c r="D201" s="638">
        <v>55</v>
      </c>
      <c r="E201" s="638">
        <v>2</v>
      </c>
      <c r="F201" s="638">
        <v>27</v>
      </c>
    </row>
    <row r="202" spans="1:6" ht="12.75">
      <c r="A202" s="631" t="s">
        <v>581</v>
      </c>
      <c r="B202" s="636">
        <v>88</v>
      </c>
      <c r="C202" s="636">
        <v>21</v>
      </c>
      <c r="D202" s="636">
        <v>65</v>
      </c>
      <c r="E202" s="636">
        <v>2</v>
      </c>
      <c r="F202" s="636">
        <v>19</v>
      </c>
    </row>
    <row r="203" spans="1:6" ht="12.75">
      <c r="A203" s="637" t="s">
        <v>582</v>
      </c>
      <c r="B203" s="638">
        <v>108</v>
      </c>
      <c r="C203" s="638">
        <v>27</v>
      </c>
      <c r="D203" s="638">
        <v>57</v>
      </c>
      <c r="E203" s="638">
        <v>0</v>
      </c>
      <c r="F203" s="638">
        <v>5</v>
      </c>
    </row>
    <row r="204" spans="1:6" ht="12.75">
      <c r="A204" s="631" t="s">
        <v>583</v>
      </c>
      <c r="B204" s="636">
        <v>12663</v>
      </c>
      <c r="C204" s="636">
        <v>2555</v>
      </c>
      <c r="D204" s="636">
        <v>2809</v>
      </c>
      <c r="E204" s="636">
        <v>106</v>
      </c>
      <c r="F204" s="636">
        <v>571</v>
      </c>
    </row>
    <row r="205" spans="1:6" ht="12.75">
      <c r="A205" s="637" t="s">
        <v>584</v>
      </c>
      <c r="B205" s="638">
        <v>2014</v>
      </c>
      <c r="C205" s="638">
        <v>392</v>
      </c>
      <c r="D205" s="638">
        <v>549</v>
      </c>
      <c r="E205" s="638">
        <v>8</v>
      </c>
      <c r="F205" s="638">
        <v>130</v>
      </c>
    </row>
    <row r="206" spans="1:6" ht="12.75">
      <c r="A206" s="631" t="s">
        <v>585</v>
      </c>
      <c r="B206" s="636">
        <v>7000</v>
      </c>
      <c r="C206" s="636">
        <v>1433</v>
      </c>
      <c r="D206" s="636">
        <v>1730</v>
      </c>
      <c r="E206" s="636">
        <v>192</v>
      </c>
      <c r="F206" s="636">
        <v>1037</v>
      </c>
    </row>
    <row r="207" spans="1:6" ht="12.75">
      <c r="A207" s="637" t="s">
        <v>586</v>
      </c>
      <c r="B207" s="638">
        <v>391</v>
      </c>
      <c r="C207" s="638">
        <v>94</v>
      </c>
      <c r="D207" s="638">
        <v>167</v>
      </c>
      <c r="E207" s="638">
        <v>4</v>
      </c>
      <c r="F207" s="638">
        <v>28</v>
      </c>
    </row>
    <row r="208" spans="1:6" ht="12.75">
      <c r="A208" s="631" t="s">
        <v>587</v>
      </c>
      <c r="B208" s="636">
        <v>555</v>
      </c>
      <c r="C208" s="636">
        <v>68</v>
      </c>
      <c r="D208" s="636">
        <v>189</v>
      </c>
      <c r="E208" s="636">
        <v>1</v>
      </c>
      <c r="F208" s="636">
        <v>32</v>
      </c>
    </row>
    <row r="209" spans="1:6" ht="12.75">
      <c r="A209" s="637" t="s">
        <v>588</v>
      </c>
      <c r="B209" s="638">
        <v>31480</v>
      </c>
      <c r="C209" s="638">
        <v>7395</v>
      </c>
      <c r="D209" s="638">
        <v>4756</v>
      </c>
      <c r="E209" s="638">
        <v>167</v>
      </c>
      <c r="F209" s="638">
        <v>851</v>
      </c>
    </row>
    <row r="210" spans="1:6" ht="12.75">
      <c r="A210" s="631" t="s">
        <v>589</v>
      </c>
      <c r="B210" s="636">
        <v>1476</v>
      </c>
      <c r="C210" s="636">
        <v>293</v>
      </c>
      <c r="D210" s="636">
        <v>357</v>
      </c>
      <c r="E210" s="636">
        <v>25</v>
      </c>
      <c r="F210" s="636">
        <v>132</v>
      </c>
    </row>
    <row r="211" spans="1:6" ht="12.75">
      <c r="A211" s="637" t="s">
        <v>590</v>
      </c>
      <c r="B211" s="638">
        <v>561</v>
      </c>
      <c r="C211" s="638">
        <v>83</v>
      </c>
      <c r="D211" s="638">
        <v>149</v>
      </c>
      <c r="E211" s="638">
        <v>45</v>
      </c>
      <c r="F211" s="638">
        <v>74</v>
      </c>
    </row>
    <row r="212" spans="1:6" ht="12.75">
      <c r="A212" s="631" t="s">
        <v>591</v>
      </c>
      <c r="B212" s="636">
        <v>133</v>
      </c>
      <c r="C212" s="636">
        <v>15</v>
      </c>
      <c r="D212" s="636">
        <v>49</v>
      </c>
      <c r="E212" s="636">
        <v>0</v>
      </c>
      <c r="F212" s="636">
        <v>8</v>
      </c>
    </row>
    <row r="213" spans="1:6" ht="12.75">
      <c r="A213" s="637" t="s">
        <v>592</v>
      </c>
      <c r="B213" s="638">
        <v>259</v>
      </c>
      <c r="C213" s="638">
        <v>95</v>
      </c>
      <c r="D213" s="638">
        <v>143</v>
      </c>
      <c r="E213" s="638">
        <v>1</v>
      </c>
      <c r="F213" s="638">
        <v>40</v>
      </c>
    </row>
    <row r="214" spans="1:6" ht="12.75">
      <c r="A214" s="631" t="s">
        <v>593</v>
      </c>
      <c r="B214" s="636">
        <v>1168</v>
      </c>
      <c r="C214" s="636">
        <v>223</v>
      </c>
      <c r="D214" s="636">
        <v>263</v>
      </c>
      <c r="E214" s="636">
        <v>11</v>
      </c>
      <c r="F214" s="636">
        <v>54</v>
      </c>
    </row>
    <row r="215" spans="1:6" ht="12.75">
      <c r="A215" s="637" t="s">
        <v>594</v>
      </c>
      <c r="B215" s="638">
        <v>740</v>
      </c>
      <c r="C215" s="638">
        <v>194</v>
      </c>
      <c r="D215" s="638">
        <v>205</v>
      </c>
      <c r="E215" s="638">
        <v>1</v>
      </c>
      <c r="F215" s="638">
        <v>91</v>
      </c>
    </row>
    <row r="216" spans="1:6" ht="12.75">
      <c r="A216" s="631" t="s">
        <v>595</v>
      </c>
      <c r="B216" s="636">
        <v>503</v>
      </c>
      <c r="C216" s="636">
        <v>108</v>
      </c>
      <c r="D216" s="636">
        <v>136</v>
      </c>
      <c r="E216" s="636">
        <v>26</v>
      </c>
      <c r="F216" s="636">
        <v>55</v>
      </c>
    </row>
    <row r="217" spans="1:6" ht="12.75">
      <c r="A217" s="637" t="s">
        <v>596</v>
      </c>
      <c r="B217" s="638">
        <v>7151</v>
      </c>
      <c r="C217" s="638">
        <v>1324</v>
      </c>
      <c r="D217" s="638">
        <v>2222</v>
      </c>
      <c r="E217" s="638">
        <v>31</v>
      </c>
      <c r="F217" s="638">
        <v>426</v>
      </c>
    </row>
    <row r="218" spans="1:6" ht="12.75">
      <c r="A218" s="631" t="s">
        <v>597</v>
      </c>
      <c r="B218" s="636">
        <v>374</v>
      </c>
      <c r="C218" s="636">
        <v>43</v>
      </c>
      <c r="D218" s="636">
        <v>146</v>
      </c>
      <c r="E218" s="636">
        <v>11</v>
      </c>
      <c r="F218" s="636">
        <v>48</v>
      </c>
    </row>
    <row r="219" spans="1:6" ht="12.75">
      <c r="A219" s="637" t="s">
        <v>598</v>
      </c>
      <c r="B219" s="638">
        <v>388</v>
      </c>
      <c r="C219" s="638">
        <v>178</v>
      </c>
      <c r="D219" s="638">
        <v>127</v>
      </c>
      <c r="E219" s="638">
        <v>0</v>
      </c>
      <c r="F219" s="638">
        <v>15</v>
      </c>
    </row>
    <row r="220" spans="1:6" ht="12.75">
      <c r="A220" s="631" t="s">
        <v>579</v>
      </c>
      <c r="B220" s="636">
        <v>6870</v>
      </c>
      <c r="C220" s="636">
        <v>1569</v>
      </c>
      <c r="D220" s="636">
        <v>1775</v>
      </c>
      <c r="E220" s="636">
        <v>13</v>
      </c>
      <c r="F220" s="636">
        <v>154</v>
      </c>
    </row>
    <row r="221" spans="1:6" ht="12.75">
      <c r="A221" s="637" t="s">
        <v>599</v>
      </c>
      <c r="B221" s="638">
        <v>697</v>
      </c>
      <c r="C221" s="638">
        <v>89</v>
      </c>
      <c r="D221" s="638">
        <v>196</v>
      </c>
      <c r="E221" s="638">
        <v>1</v>
      </c>
      <c r="F221" s="638">
        <v>34</v>
      </c>
    </row>
    <row r="222" spans="1:6" ht="12.75">
      <c r="A222" s="631" t="s">
        <v>600</v>
      </c>
      <c r="B222" s="636">
        <v>1122</v>
      </c>
      <c r="C222" s="636">
        <v>246</v>
      </c>
      <c r="D222" s="636">
        <v>348</v>
      </c>
      <c r="E222" s="636">
        <v>0</v>
      </c>
      <c r="F222" s="636">
        <v>46</v>
      </c>
    </row>
    <row r="223" spans="1:6" ht="12.75">
      <c r="A223" s="637" t="s">
        <v>601</v>
      </c>
      <c r="B223" s="638">
        <v>1732</v>
      </c>
      <c r="C223" s="638">
        <v>520</v>
      </c>
      <c r="D223" s="638">
        <v>365</v>
      </c>
      <c r="E223" s="638">
        <v>4</v>
      </c>
      <c r="F223" s="638">
        <v>59</v>
      </c>
    </row>
    <row r="224" spans="1:6" ht="12.75">
      <c r="A224" s="631" t="s">
        <v>602</v>
      </c>
      <c r="B224" s="636">
        <v>1027</v>
      </c>
      <c r="C224" s="636">
        <v>228</v>
      </c>
      <c r="D224" s="636">
        <v>377</v>
      </c>
      <c r="E224" s="636">
        <v>25</v>
      </c>
      <c r="F224" s="636">
        <v>150</v>
      </c>
    </row>
    <row r="225" spans="1:6" ht="12.75">
      <c r="A225" s="637" t="s">
        <v>603</v>
      </c>
      <c r="B225" s="638">
        <v>1070</v>
      </c>
      <c r="C225" s="638">
        <v>251</v>
      </c>
      <c r="D225" s="638">
        <v>275</v>
      </c>
      <c r="E225" s="638">
        <v>8</v>
      </c>
      <c r="F225" s="638">
        <v>46</v>
      </c>
    </row>
    <row r="226" spans="1:6" ht="12.75">
      <c r="A226" s="631" t="s">
        <v>1191</v>
      </c>
      <c r="B226" s="636">
        <v>3298</v>
      </c>
      <c r="C226" s="636">
        <v>773</v>
      </c>
      <c r="D226" s="636">
        <v>687</v>
      </c>
      <c r="E226" s="636">
        <v>29</v>
      </c>
      <c r="F226" s="636">
        <v>152</v>
      </c>
    </row>
    <row r="227" spans="1:6" ht="12.75">
      <c r="A227" s="637" t="s">
        <v>604</v>
      </c>
      <c r="B227" s="638">
        <v>24</v>
      </c>
      <c r="C227" s="638">
        <v>3</v>
      </c>
      <c r="D227" s="638">
        <v>22</v>
      </c>
      <c r="E227" s="638">
        <v>0</v>
      </c>
      <c r="F227" s="638">
        <v>1</v>
      </c>
    </row>
    <row r="228" spans="1:6" ht="12.75">
      <c r="A228" s="631" t="s">
        <v>1192</v>
      </c>
      <c r="B228" s="636">
        <v>1158</v>
      </c>
      <c r="C228" s="636">
        <v>179</v>
      </c>
      <c r="D228" s="636">
        <v>367</v>
      </c>
      <c r="E228" s="636">
        <v>3</v>
      </c>
      <c r="F228" s="636">
        <v>65</v>
      </c>
    </row>
    <row r="229" spans="1:6" ht="12.75">
      <c r="A229" s="637" t="s">
        <v>605</v>
      </c>
      <c r="B229" s="638">
        <v>2846</v>
      </c>
      <c r="C229" s="638">
        <v>440</v>
      </c>
      <c r="D229" s="638">
        <v>1019</v>
      </c>
      <c r="E229" s="638">
        <v>50</v>
      </c>
      <c r="F229" s="638">
        <v>228</v>
      </c>
    </row>
    <row r="230" spans="1:6" ht="12.75">
      <c r="A230" s="631" t="s">
        <v>606</v>
      </c>
      <c r="B230" s="636">
        <v>4002</v>
      </c>
      <c r="C230" s="636">
        <v>526</v>
      </c>
      <c r="D230" s="636">
        <v>1032</v>
      </c>
      <c r="E230" s="636">
        <v>12</v>
      </c>
      <c r="F230" s="636">
        <v>234</v>
      </c>
    </row>
    <row r="231" spans="1:6" ht="12.75">
      <c r="A231" s="637" t="s">
        <v>607</v>
      </c>
      <c r="B231" s="638">
        <v>737</v>
      </c>
      <c r="C231" s="638">
        <v>131</v>
      </c>
      <c r="D231" s="638">
        <v>280</v>
      </c>
      <c r="E231" s="638">
        <v>5</v>
      </c>
      <c r="F231" s="638">
        <v>44</v>
      </c>
    </row>
    <row r="232" spans="1:6" ht="12.75">
      <c r="A232" s="631" t="s">
        <v>608</v>
      </c>
      <c r="B232" s="636">
        <v>28017</v>
      </c>
      <c r="C232" s="636">
        <v>5720</v>
      </c>
      <c r="D232" s="636">
        <v>4052</v>
      </c>
      <c r="E232" s="636">
        <v>132</v>
      </c>
      <c r="F232" s="636">
        <v>918</v>
      </c>
    </row>
    <row r="233" spans="1:6" ht="12.75">
      <c r="A233" s="637" t="s">
        <v>609</v>
      </c>
      <c r="B233" s="638">
        <v>5377</v>
      </c>
      <c r="C233" s="638">
        <v>1344</v>
      </c>
      <c r="D233" s="638">
        <v>1112</v>
      </c>
      <c r="E233" s="638">
        <v>67</v>
      </c>
      <c r="F233" s="638">
        <v>338</v>
      </c>
    </row>
    <row r="234" spans="1:6" ht="12.75">
      <c r="A234" s="631" t="s">
        <v>610</v>
      </c>
      <c r="B234" s="636">
        <v>4811</v>
      </c>
      <c r="C234" s="636">
        <v>549</v>
      </c>
      <c r="D234" s="636">
        <v>1052</v>
      </c>
      <c r="E234" s="636">
        <v>84</v>
      </c>
      <c r="F234" s="636">
        <v>333</v>
      </c>
    </row>
    <row r="235" spans="1:6" ht="12.75">
      <c r="A235" s="637" t="s">
        <v>611</v>
      </c>
      <c r="B235" s="638">
        <v>395</v>
      </c>
      <c r="C235" s="638">
        <v>48</v>
      </c>
      <c r="D235" s="638">
        <v>165</v>
      </c>
      <c r="E235" s="638">
        <v>0</v>
      </c>
      <c r="F235" s="638">
        <v>25</v>
      </c>
    </row>
    <row r="236" spans="1:6" ht="12.75">
      <c r="A236" s="631" t="s">
        <v>612</v>
      </c>
      <c r="B236" s="636">
        <v>610</v>
      </c>
      <c r="C236" s="636">
        <v>117</v>
      </c>
      <c r="D236" s="636">
        <v>206</v>
      </c>
      <c r="E236" s="636">
        <v>19</v>
      </c>
      <c r="F236" s="636">
        <v>52</v>
      </c>
    </row>
    <row r="237" spans="1:6" ht="12.75">
      <c r="A237" s="637" t="s">
        <v>613</v>
      </c>
      <c r="B237" s="638">
        <v>205</v>
      </c>
      <c r="C237" s="638">
        <v>38</v>
      </c>
      <c r="D237" s="638">
        <v>95</v>
      </c>
      <c r="E237" s="638">
        <v>0</v>
      </c>
      <c r="F237" s="638">
        <v>11</v>
      </c>
    </row>
    <row r="238" spans="1:6" ht="12.75">
      <c r="A238" s="631" t="s">
        <v>614</v>
      </c>
      <c r="B238" s="636">
        <v>146</v>
      </c>
      <c r="C238" s="636">
        <v>35</v>
      </c>
      <c r="D238" s="636">
        <v>64</v>
      </c>
      <c r="E238" s="636">
        <v>6</v>
      </c>
      <c r="F238" s="636">
        <v>16</v>
      </c>
    </row>
    <row r="239" spans="1:6" ht="12.75">
      <c r="A239" s="637" t="s">
        <v>615</v>
      </c>
      <c r="B239" s="638">
        <v>118</v>
      </c>
      <c r="C239" s="638">
        <v>23</v>
      </c>
      <c r="D239" s="638">
        <v>64</v>
      </c>
      <c r="E239" s="638">
        <v>2</v>
      </c>
      <c r="F239" s="638">
        <v>23</v>
      </c>
    </row>
    <row r="240" spans="1:6" ht="12.75">
      <c r="A240" s="631" t="s">
        <v>1193</v>
      </c>
      <c r="B240" s="636">
        <v>115</v>
      </c>
      <c r="C240" s="636">
        <v>20</v>
      </c>
      <c r="D240" s="636">
        <v>41</v>
      </c>
      <c r="E240" s="636">
        <v>3</v>
      </c>
      <c r="F240" s="636">
        <v>18</v>
      </c>
    </row>
    <row r="241" spans="1:6" ht="12.75">
      <c r="A241" s="637" t="s">
        <v>616</v>
      </c>
      <c r="B241" s="638">
        <v>238</v>
      </c>
      <c r="C241" s="638">
        <v>55</v>
      </c>
      <c r="D241" s="638">
        <v>107</v>
      </c>
      <c r="E241" s="638">
        <v>0</v>
      </c>
      <c r="F241" s="638">
        <v>8</v>
      </c>
    </row>
    <row r="242" spans="1:6" ht="12.75">
      <c r="A242" s="631" t="s">
        <v>617</v>
      </c>
      <c r="B242" s="636">
        <v>361</v>
      </c>
      <c r="C242" s="636">
        <v>60</v>
      </c>
      <c r="D242" s="636">
        <v>202</v>
      </c>
      <c r="E242" s="636">
        <v>4</v>
      </c>
      <c r="F242" s="636">
        <v>48</v>
      </c>
    </row>
    <row r="243" spans="1:6" ht="12.75">
      <c r="A243" s="637" t="s">
        <v>618</v>
      </c>
      <c r="B243" s="638">
        <v>2423</v>
      </c>
      <c r="C243" s="638">
        <v>456</v>
      </c>
      <c r="D243" s="638">
        <v>426</v>
      </c>
      <c r="E243" s="638">
        <v>13</v>
      </c>
      <c r="F243" s="638">
        <v>102</v>
      </c>
    </row>
    <row r="244" spans="1:6" ht="12.75">
      <c r="A244" s="631" t="s">
        <v>619</v>
      </c>
      <c r="B244" s="636">
        <v>123</v>
      </c>
      <c r="C244" s="636">
        <v>51</v>
      </c>
      <c r="D244" s="636">
        <v>61</v>
      </c>
      <c r="E244" s="636">
        <v>0</v>
      </c>
      <c r="F244" s="636">
        <v>7</v>
      </c>
    </row>
    <row r="245" spans="1:6" ht="12.75">
      <c r="A245" s="637" t="s">
        <v>620</v>
      </c>
      <c r="B245" s="638">
        <v>200</v>
      </c>
      <c r="C245" s="638">
        <v>52</v>
      </c>
      <c r="D245" s="638">
        <v>69</v>
      </c>
      <c r="E245" s="638">
        <v>0</v>
      </c>
      <c r="F245" s="638">
        <v>15</v>
      </c>
    </row>
    <row r="246" spans="1:6" ht="12.75">
      <c r="A246" s="631" t="s">
        <v>621</v>
      </c>
      <c r="B246" s="636">
        <v>131</v>
      </c>
      <c r="C246" s="636">
        <v>27</v>
      </c>
      <c r="D246" s="636">
        <v>45</v>
      </c>
      <c r="E246" s="636">
        <v>3</v>
      </c>
      <c r="F246" s="636">
        <v>4</v>
      </c>
    </row>
    <row r="247" spans="1:6" ht="12.75">
      <c r="A247" s="637" t="s">
        <v>1194</v>
      </c>
      <c r="B247" s="638">
        <v>205</v>
      </c>
      <c r="C247" s="638">
        <v>67</v>
      </c>
      <c r="D247" s="638">
        <v>127</v>
      </c>
      <c r="E247" s="638">
        <v>0</v>
      </c>
      <c r="F247" s="638">
        <v>35</v>
      </c>
    </row>
    <row r="248" spans="1:6" ht="12.75">
      <c r="A248" s="631" t="s">
        <v>622</v>
      </c>
      <c r="B248" s="636">
        <v>249</v>
      </c>
      <c r="C248" s="636">
        <v>53</v>
      </c>
      <c r="D248" s="636">
        <v>119</v>
      </c>
      <c r="E248" s="636">
        <v>1</v>
      </c>
      <c r="F248" s="636">
        <v>21</v>
      </c>
    </row>
    <row r="249" spans="1:6" ht="12.75">
      <c r="A249" s="637" t="s">
        <v>623</v>
      </c>
      <c r="B249" s="638">
        <v>91</v>
      </c>
      <c r="C249" s="638">
        <v>9</v>
      </c>
      <c r="D249" s="638">
        <v>30</v>
      </c>
      <c r="E249" s="638">
        <v>0</v>
      </c>
      <c r="F249" s="638">
        <v>4</v>
      </c>
    </row>
    <row r="250" spans="1:6" ht="12.75">
      <c r="A250" s="631" t="s">
        <v>624</v>
      </c>
      <c r="B250" s="636">
        <v>3840</v>
      </c>
      <c r="C250" s="636">
        <v>693</v>
      </c>
      <c r="D250" s="636">
        <v>1144</v>
      </c>
      <c r="E250" s="636">
        <v>383</v>
      </c>
      <c r="F250" s="636">
        <v>1270</v>
      </c>
    </row>
    <row r="251" spans="1:6" ht="12.75">
      <c r="A251" s="637" t="s">
        <v>625</v>
      </c>
      <c r="B251" s="638">
        <v>169</v>
      </c>
      <c r="C251" s="638">
        <v>59</v>
      </c>
      <c r="D251" s="638">
        <v>51</v>
      </c>
      <c r="E251" s="638">
        <v>3</v>
      </c>
      <c r="F251" s="638">
        <v>19</v>
      </c>
    </row>
    <row r="252" spans="1:6" ht="12.75">
      <c r="A252" s="631" t="s">
        <v>626</v>
      </c>
      <c r="B252" s="636">
        <v>528</v>
      </c>
      <c r="C252" s="636">
        <v>46</v>
      </c>
      <c r="D252" s="636">
        <v>218</v>
      </c>
      <c r="E252" s="636">
        <v>1</v>
      </c>
      <c r="F252" s="636">
        <v>36</v>
      </c>
    </row>
    <row r="253" spans="1:6" ht="12.75">
      <c r="A253" s="637" t="s">
        <v>627</v>
      </c>
      <c r="B253" s="638">
        <v>7833</v>
      </c>
      <c r="C253" s="638">
        <v>2104</v>
      </c>
      <c r="D253" s="638">
        <v>1610</v>
      </c>
      <c r="E253" s="638">
        <v>38</v>
      </c>
      <c r="F253" s="638">
        <v>392</v>
      </c>
    </row>
    <row r="254" spans="1:6" ht="12.75">
      <c r="A254" s="631" t="s">
        <v>628</v>
      </c>
      <c r="B254" s="636">
        <v>729</v>
      </c>
      <c r="C254" s="636">
        <v>112</v>
      </c>
      <c r="D254" s="636">
        <v>209</v>
      </c>
      <c r="E254" s="636">
        <v>1</v>
      </c>
      <c r="F254" s="636">
        <v>45</v>
      </c>
    </row>
    <row r="255" spans="1:6" ht="12.75">
      <c r="A255" s="637" t="s">
        <v>629</v>
      </c>
      <c r="B255" s="638">
        <v>894</v>
      </c>
      <c r="C255" s="638">
        <v>136</v>
      </c>
      <c r="D255" s="638">
        <v>353</v>
      </c>
      <c r="E255" s="638">
        <v>14</v>
      </c>
      <c r="F255" s="638">
        <v>60</v>
      </c>
    </row>
    <row r="256" spans="1:6" ht="12.75">
      <c r="A256" s="631" t="s">
        <v>630</v>
      </c>
      <c r="B256" s="636">
        <v>32316</v>
      </c>
      <c r="C256" s="636">
        <v>7147</v>
      </c>
      <c r="D256" s="636">
        <v>6364</v>
      </c>
      <c r="E256" s="636">
        <v>127</v>
      </c>
      <c r="F256" s="636">
        <v>1169</v>
      </c>
    </row>
    <row r="257" spans="1:6" ht="12.75">
      <c r="A257" s="637" t="s">
        <v>631</v>
      </c>
      <c r="B257" s="638">
        <v>1551</v>
      </c>
      <c r="C257" s="638">
        <v>257</v>
      </c>
      <c r="D257" s="638">
        <v>747</v>
      </c>
      <c r="E257" s="638">
        <v>27</v>
      </c>
      <c r="F257" s="638">
        <v>166</v>
      </c>
    </row>
    <row r="258" spans="1:6" ht="12.75">
      <c r="A258" s="631" t="s">
        <v>632</v>
      </c>
      <c r="B258" s="636">
        <v>530</v>
      </c>
      <c r="C258" s="636">
        <v>149</v>
      </c>
      <c r="D258" s="636">
        <v>222</v>
      </c>
      <c r="E258" s="636">
        <v>6</v>
      </c>
      <c r="F258" s="636">
        <v>40</v>
      </c>
    </row>
    <row r="259" spans="1:6" ht="12.75">
      <c r="A259" s="637" t="s">
        <v>633</v>
      </c>
      <c r="B259" s="638">
        <v>1827</v>
      </c>
      <c r="C259" s="638">
        <v>310</v>
      </c>
      <c r="D259" s="638">
        <v>357</v>
      </c>
      <c r="E259" s="638">
        <v>8</v>
      </c>
      <c r="F259" s="638">
        <v>65</v>
      </c>
    </row>
    <row r="260" spans="1:6" ht="12.75">
      <c r="A260" s="631" t="s">
        <v>634</v>
      </c>
      <c r="B260" s="636">
        <v>180</v>
      </c>
      <c r="C260" s="636">
        <v>29</v>
      </c>
      <c r="D260" s="636">
        <v>80</v>
      </c>
      <c r="E260" s="636">
        <v>0</v>
      </c>
      <c r="F260" s="636">
        <v>6</v>
      </c>
    </row>
    <row r="261" spans="1:6" ht="12.75">
      <c r="A261" s="637" t="s">
        <v>1068</v>
      </c>
      <c r="B261" s="638">
        <v>837</v>
      </c>
      <c r="C261" s="638">
        <v>205</v>
      </c>
      <c r="D261" s="638">
        <v>362</v>
      </c>
      <c r="E261" s="638">
        <v>2</v>
      </c>
      <c r="F261" s="638">
        <v>61</v>
      </c>
    </row>
    <row r="262" spans="1:6" ht="12.75">
      <c r="A262" s="631" t="s">
        <v>635</v>
      </c>
      <c r="B262" s="636">
        <v>7136</v>
      </c>
      <c r="C262" s="636">
        <v>1559</v>
      </c>
      <c r="D262" s="636">
        <v>1111</v>
      </c>
      <c r="E262" s="636">
        <v>31</v>
      </c>
      <c r="F262" s="636">
        <v>178</v>
      </c>
    </row>
    <row r="263" spans="1:6" ht="12.75">
      <c r="A263" s="637" t="s">
        <v>636</v>
      </c>
      <c r="B263" s="638">
        <v>233</v>
      </c>
      <c r="C263" s="638">
        <v>37</v>
      </c>
      <c r="D263" s="638">
        <v>95</v>
      </c>
      <c r="E263" s="638">
        <v>2</v>
      </c>
      <c r="F263" s="638">
        <v>8</v>
      </c>
    </row>
    <row r="264" spans="1:6" ht="12.75">
      <c r="A264" s="631" t="s">
        <v>637</v>
      </c>
      <c r="B264" s="636">
        <v>5499</v>
      </c>
      <c r="C264" s="636">
        <v>926</v>
      </c>
      <c r="D264" s="636">
        <v>899</v>
      </c>
      <c r="E264" s="636">
        <v>17</v>
      </c>
      <c r="F264" s="636">
        <v>147</v>
      </c>
    </row>
    <row r="265" spans="1:6" ht="12.75">
      <c r="A265" s="637" t="s">
        <v>638</v>
      </c>
      <c r="B265" s="638">
        <v>346</v>
      </c>
      <c r="C265" s="638">
        <v>65</v>
      </c>
      <c r="D265" s="638">
        <v>130</v>
      </c>
      <c r="E265" s="638">
        <v>3</v>
      </c>
      <c r="F265" s="638">
        <v>21</v>
      </c>
    </row>
    <row r="266" spans="1:6" ht="12.75">
      <c r="A266" s="631" t="s">
        <v>639</v>
      </c>
      <c r="B266" s="636">
        <v>128</v>
      </c>
      <c r="C266" s="636">
        <v>40</v>
      </c>
      <c r="D266" s="636">
        <v>59</v>
      </c>
      <c r="E266" s="636">
        <v>0</v>
      </c>
      <c r="F266" s="636">
        <v>12</v>
      </c>
    </row>
    <row r="267" spans="1:6" ht="12.75">
      <c r="A267" s="637" t="s">
        <v>640</v>
      </c>
      <c r="B267" s="638">
        <v>6015</v>
      </c>
      <c r="C267" s="638">
        <v>784</v>
      </c>
      <c r="D267" s="638">
        <v>2465</v>
      </c>
      <c r="E267" s="638">
        <v>28</v>
      </c>
      <c r="F267" s="638">
        <v>304</v>
      </c>
    </row>
    <row r="268" spans="1:6" ht="12.75">
      <c r="A268" s="631" t="s">
        <v>641</v>
      </c>
      <c r="B268" s="636">
        <v>3002</v>
      </c>
      <c r="C268" s="636">
        <v>745</v>
      </c>
      <c r="D268" s="636">
        <v>790</v>
      </c>
      <c r="E268" s="636">
        <v>6</v>
      </c>
      <c r="F268" s="636">
        <v>131</v>
      </c>
    </row>
    <row r="269" spans="1:6" ht="12.75">
      <c r="A269" s="637" t="s">
        <v>642</v>
      </c>
      <c r="B269" s="638">
        <v>303</v>
      </c>
      <c r="C269" s="638">
        <v>45</v>
      </c>
      <c r="D269" s="638">
        <v>62</v>
      </c>
      <c r="E269" s="638">
        <v>0</v>
      </c>
      <c r="F269" s="638">
        <v>6</v>
      </c>
    </row>
    <row r="270" spans="1:6" ht="12.75">
      <c r="A270" s="631" t="s">
        <v>1195</v>
      </c>
      <c r="B270" s="636">
        <v>5451</v>
      </c>
      <c r="C270" s="636">
        <v>1461</v>
      </c>
      <c r="D270" s="636">
        <v>1314</v>
      </c>
      <c r="E270" s="636">
        <v>4</v>
      </c>
      <c r="F270" s="636">
        <v>149</v>
      </c>
    </row>
    <row r="271" spans="1:6" ht="12.75">
      <c r="A271" s="637" t="s">
        <v>643</v>
      </c>
      <c r="B271" s="638">
        <v>11751</v>
      </c>
      <c r="C271" s="638">
        <v>1837</v>
      </c>
      <c r="D271" s="638">
        <v>2043</v>
      </c>
      <c r="E271" s="638">
        <v>168</v>
      </c>
      <c r="F271" s="638">
        <v>685</v>
      </c>
    </row>
    <row r="272" spans="1:6" ht="12.75">
      <c r="A272" s="631" t="s">
        <v>644</v>
      </c>
      <c r="B272" s="636">
        <v>130</v>
      </c>
      <c r="C272" s="636">
        <v>17</v>
      </c>
      <c r="D272" s="636">
        <v>41</v>
      </c>
      <c r="E272" s="636">
        <v>6</v>
      </c>
      <c r="F272" s="636">
        <v>13</v>
      </c>
    </row>
    <row r="273" spans="1:6" ht="12.75">
      <c r="A273" s="637" t="s">
        <v>1196</v>
      </c>
      <c r="B273" s="638">
        <v>251</v>
      </c>
      <c r="C273" s="638">
        <v>26</v>
      </c>
      <c r="D273" s="638">
        <v>75</v>
      </c>
      <c r="E273" s="638">
        <v>0</v>
      </c>
      <c r="F273" s="638">
        <v>7</v>
      </c>
    </row>
    <row r="274" spans="1:6" ht="12.75">
      <c r="A274" s="631" t="s">
        <v>1197</v>
      </c>
      <c r="B274" s="636">
        <v>2035</v>
      </c>
      <c r="C274" s="636">
        <v>327</v>
      </c>
      <c r="D274" s="636">
        <v>581</v>
      </c>
      <c r="E274" s="636">
        <v>14</v>
      </c>
      <c r="F274" s="636">
        <v>147</v>
      </c>
    </row>
    <row r="275" spans="1:6" ht="12.75">
      <c r="A275" s="637" t="s">
        <v>645</v>
      </c>
      <c r="B275" s="638">
        <v>19329</v>
      </c>
      <c r="C275" s="638">
        <v>5729</v>
      </c>
      <c r="D275" s="638">
        <v>3172</v>
      </c>
      <c r="E275" s="638">
        <v>90</v>
      </c>
      <c r="F275" s="638">
        <v>474</v>
      </c>
    </row>
    <row r="276" spans="1:6" ht="12.75">
      <c r="A276" s="631" t="s">
        <v>646</v>
      </c>
      <c r="B276" s="636">
        <v>247</v>
      </c>
      <c r="C276" s="636">
        <v>49</v>
      </c>
      <c r="D276" s="636">
        <v>127</v>
      </c>
      <c r="E276" s="636">
        <v>2</v>
      </c>
      <c r="F276" s="636">
        <v>13</v>
      </c>
    </row>
    <row r="277" spans="1:6" ht="12.75">
      <c r="A277" s="637" t="s">
        <v>647</v>
      </c>
      <c r="B277" s="638">
        <v>283</v>
      </c>
      <c r="C277" s="638">
        <v>70</v>
      </c>
      <c r="D277" s="638">
        <v>96</v>
      </c>
      <c r="E277" s="638">
        <v>0</v>
      </c>
      <c r="F277" s="638">
        <v>20</v>
      </c>
    </row>
    <row r="278" spans="1:6" ht="12.75">
      <c r="A278" s="631" t="s">
        <v>648</v>
      </c>
      <c r="B278" s="636">
        <v>218</v>
      </c>
      <c r="C278" s="636">
        <v>43</v>
      </c>
      <c r="D278" s="636">
        <v>121</v>
      </c>
      <c r="E278" s="636">
        <v>0</v>
      </c>
      <c r="F278" s="636">
        <v>25</v>
      </c>
    </row>
    <row r="279" spans="1:6" ht="12.75">
      <c r="A279" s="637" t="s">
        <v>1198</v>
      </c>
      <c r="B279" s="638">
        <v>199</v>
      </c>
      <c r="C279" s="638">
        <v>55</v>
      </c>
      <c r="D279" s="638">
        <v>111</v>
      </c>
      <c r="E279" s="638">
        <v>2</v>
      </c>
      <c r="F279" s="638">
        <v>26</v>
      </c>
    </row>
    <row r="280" spans="1:6" ht="12.75">
      <c r="A280" s="631" t="s">
        <v>1199</v>
      </c>
      <c r="B280" s="636">
        <v>1263</v>
      </c>
      <c r="C280" s="636">
        <v>274</v>
      </c>
      <c r="D280" s="636">
        <v>490</v>
      </c>
      <c r="E280" s="636">
        <v>6</v>
      </c>
      <c r="F280" s="636">
        <v>105</v>
      </c>
    </row>
    <row r="281" spans="1:6" ht="12.75">
      <c r="A281" s="637" t="s">
        <v>649</v>
      </c>
      <c r="B281" s="638">
        <v>69</v>
      </c>
      <c r="C281" s="638">
        <v>7</v>
      </c>
      <c r="D281" s="638">
        <v>28</v>
      </c>
      <c r="E281" s="638">
        <v>0</v>
      </c>
      <c r="F281" s="638">
        <v>5</v>
      </c>
    </row>
    <row r="282" spans="1:6" ht="12.75">
      <c r="A282" s="631" t="s">
        <v>1200</v>
      </c>
      <c r="B282" s="636">
        <v>226</v>
      </c>
      <c r="C282" s="636">
        <v>54</v>
      </c>
      <c r="D282" s="636">
        <v>74</v>
      </c>
      <c r="E282" s="636">
        <v>0</v>
      </c>
      <c r="F282" s="636">
        <v>16</v>
      </c>
    </row>
    <row r="283" spans="1:6" ht="12.75">
      <c r="A283" s="637" t="s">
        <v>650</v>
      </c>
      <c r="B283" s="638">
        <v>145</v>
      </c>
      <c r="C283" s="638">
        <v>27</v>
      </c>
      <c r="D283" s="638">
        <v>47</v>
      </c>
      <c r="E283" s="638">
        <v>3</v>
      </c>
      <c r="F283" s="638">
        <v>10</v>
      </c>
    </row>
    <row r="284" spans="1:6" ht="12.75">
      <c r="A284" s="631" t="s">
        <v>651</v>
      </c>
      <c r="B284" s="636">
        <v>391</v>
      </c>
      <c r="C284" s="636">
        <v>63</v>
      </c>
      <c r="D284" s="636">
        <v>151</v>
      </c>
      <c r="E284" s="636">
        <v>2</v>
      </c>
      <c r="F284" s="636">
        <v>31</v>
      </c>
    </row>
    <row r="285" spans="1:6" ht="12.75">
      <c r="A285" s="637" t="s">
        <v>652</v>
      </c>
      <c r="B285" s="638">
        <v>55</v>
      </c>
      <c r="C285" s="638">
        <v>15</v>
      </c>
      <c r="D285" s="638">
        <v>31</v>
      </c>
      <c r="E285" s="638">
        <v>0</v>
      </c>
      <c r="F285" s="638">
        <v>3</v>
      </c>
    </row>
    <row r="286" spans="1:6" ht="12.75">
      <c r="A286" s="631" t="s">
        <v>653</v>
      </c>
      <c r="B286" s="636">
        <v>1530</v>
      </c>
      <c r="C286" s="636">
        <v>251</v>
      </c>
      <c r="D286" s="636">
        <v>444</v>
      </c>
      <c r="E286" s="636">
        <v>1</v>
      </c>
      <c r="F286" s="636">
        <v>87</v>
      </c>
    </row>
    <row r="287" spans="1:6" ht="12.75">
      <c r="A287" s="637" t="s">
        <v>1201</v>
      </c>
      <c r="B287" s="638">
        <v>359</v>
      </c>
      <c r="C287" s="638">
        <v>72</v>
      </c>
      <c r="D287" s="638">
        <v>141</v>
      </c>
      <c r="E287" s="638">
        <v>4</v>
      </c>
      <c r="F287" s="638">
        <v>23</v>
      </c>
    </row>
    <row r="288" spans="1:6" ht="12.75">
      <c r="A288" s="631" t="s">
        <v>654</v>
      </c>
      <c r="B288" s="636">
        <v>113</v>
      </c>
      <c r="C288" s="636">
        <v>12</v>
      </c>
      <c r="D288" s="636">
        <v>67</v>
      </c>
      <c r="E288" s="636">
        <v>6</v>
      </c>
      <c r="F288" s="636">
        <v>16</v>
      </c>
    </row>
    <row r="289" spans="1:6" ht="12.75">
      <c r="A289" s="637" t="s">
        <v>1202</v>
      </c>
      <c r="B289" s="638">
        <v>465</v>
      </c>
      <c r="C289" s="638">
        <v>65</v>
      </c>
      <c r="D289" s="638">
        <v>276</v>
      </c>
      <c r="E289" s="638">
        <v>3</v>
      </c>
      <c r="F289" s="638">
        <v>54</v>
      </c>
    </row>
    <row r="290" spans="1:6" ht="12.75">
      <c r="A290" s="631" t="s">
        <v>1203</v>
      </c>
      <c r="B290" s="636">
        <v>34</v>
      </c>
      <c r="C290" s="636">
        <v>9</v>
      </c>
      <c r="D290" s="636">
        <v>14</v>
      </c>
      <c r="E290" s="636">
        <v>0</v>
      </c>
      <c r="F290" s="636">
        <v>2</v>
      </c>
    </row>
    <row r="291" spans="1:6" ht="12.75">
      <c r="A291" s="637" t="s">
        <v>655</v>
      </c>
      <c r="B291" s="638">
        <v>532</v>
      </c>
      <c r="C291" s="638">
        <v>95</v>
      </c>
      <c r="D291" s="638">
        <v>167</v>
      </c>
      <c r="E291" s="638">
        <v>1</v>
      </c>
      <c r="F291" s="638">
        <v>18</v>
      </c>
    </row>
    <row r="292" spans="1:6" ht="12.75">
      <c r="A292" s="631" t="s">
        <v>656</v>
      </c>
      <c r="B292" s="636">
        <v>33</v>
      </c>
      <c r="C292" s="636">
        <v>10</v>
      </c>
      <c r="D292" s="636">
        <v>12</v>
      </c>
      <c r="E292" s="636">
        <v>0</v>
      </c>
      <c r="F292" s="636">
        <v>1</v>
      </c>
    </row>
    <row r="293" spans="1:6" ht="12.75">
      <c r="A293" s="637" t="s">
        <v>657</v>
      </c>
      <c r="B293" s="638">
        <v>176</v>
      </c>
      <c r="C293" s="638">
        <v>23</v>
      </c>
      <c r="D293" s="638">
        <v>74</v>
      </c>
      <c r="E293" s="638">
        <v>3</v>
      </c>
      <c r="F293" s="638">
        <v>17</v>
      </c>
    </row>
    <row r="294" spans="1:6" ht="12.75">
      <c r="A294" s="631" t="s">
        <v>1204</v>
      </c>
      <c r="B294" s="636">
        <v>73</v>
      </c>
      <c r="C294" s="636">
        <v>7</v>
      </c>
      <c r="D294" s="636">
        <v>40</v>
      </c>
      <c r="E294" s="636">
        <v>0</v>
      </c>
      <c r="F294" s="636">
        <v>9</v>
      </c>
    </row>
    <row r="295" spans="1:6" ht="12.75">
      <c r="A295" s="637" t="s">
        <v>658</v>
      </c>
      <c r="B295" s="638">
        <v>22993</v>
      </c>
      <c r="C295" s="638">
        <v>3265</v>
      </c>
      <c r="D295" s="638">
        <v>4964</v>
      </c>
      <c r="E295" s="638">
        <v>168</v>
      </c>
      <c r="F295" s="638">
        <v>569</v>
      </c>
    </row>
    <row r="296" spans="1:6" ht="12.75">
      <c r="A296" s="631" t="s">
        <v>659</v>
      </c>
      <c r="B296" s="636">
        <v>533</v>
      </c>
      <c r="C296" s="636">
        <v>38</v>
      </c>
      <c r="D296" s="636">
        <v>130</v>
      </c>
      <c r="E296" s="636">
        <v>0</v>
      </c>
      <c r="F296" s="636">
        <v>5</v>
      </c>
    </row>
    <row r="297" spans="1:6" ht="12.75">
      <c r="A297" s="637" t="s">
        <v>660</v>
      </c>
      <c r="B297" s="638">
        <v>638</v>
      </c>
      <c r="C297" s="638">
        <v>127</v>
      </c>
      <c r="D297" s="638">
        <v>164</v>
      </c>
      <c r="E297" s="638">
        <v>2</v>
      </c>
      <c r="F297" s="638">
        <v>61</v>
      </c>
    </row>
    <row r="298" spans="1:6" ht="12.75">
      <c r="A298" s="631" t="s">
        <v>661</v>
      </c>
      <c r="B298" s="636">
        <v>1982</v>
      </c>
      <c r="C298" s="636">
        <v>394</v>
      </c>
      <c r="D298" s="636">
        <v>441</v>
      </c>
      <c r="E298" s="636">
        <v>7</v>
      </c>
      <c r="F298" s="636">
        <v>80</v>
      </c>
    </row>
    <row r="299" spans="1:6" ht="12.75">
      <c r="A299" s="637" t="s">
        <v>1205</v>
      </c>
      <c r="B299" s="638">
        <v>106</v>
      </c>
      <c r="C299" s="638">
        <v>25</v>
      </c>
      <c r="D299" s="638">
        <v>19</v>
      </c>
      <c r="E299" s="638">
        <v>0</v>
      </c>
      <c r="F299" s="638">
        <v>7</v>
      </c>
    </row>
    <row r="300" spans="1:6" ht="12.75">
      <c r="A300" s="631" t="s">
        <v>662</v>
      </c>
      <c r="B300" s="636">
        <v>970</v>
      </c>
      <c r="C300" s="636">
        <v>191</v>
      </c>
      <c r="D300" s="636">
        <v>299</v>
      </c>
      <c r="E300" s="636">
        <v>13</v>
      </c>
      <c r="F300" s="636">
        <v>77</v>
      </c>
    </row>
    <row r="301" spans="1:6" ht="12.75">
      <c r="A301" s="637" t="s">
        <v>663</v>
      </c>
      <c r="B301" s="638">
        <v>254</v>
      </c>
      <c r="C301" s="638">
        <v>69</v>
      </c>
      <c r="D301" s="638">
        <v>126</v>
      </c>
      <c r="E301" s="638">
        <v>1</v>
      </c>
      <c r="F301" s="638">
        <v>35</v>
      </c>
    </row>
    <row r="302" spans="1:6" ht="12.75">
      <c r="A302" s="631" t="s">
        <v>664</v>
      </c>
      <c r="B302" s="636">
        <v>232</v>
      </c>
      <c r="C302" s="636">
        <v>42</v>
      </c>
      <c r="D302" s="636">
        <v>79</v>
      </c>
      <c r="E302" s="636">
        <v>1</v>
      </c>
      <c r="F302" s="636">
        <v>41</v>
      </c>
    </row>
    <row r="303" spans="1:6" ht="12.75">
      <c r="A303" s="637" t="s">
        <v>665</v>
      </c>
      <c r="B303" s="638">
        <v>1243</v>
      </c>
      <c r="C303" s="638">
        <v>260</v>
      </c>
      <c r="D303" s="638">
        <v>383</v>
      </c>
      <c r="E303" s="638">
        <v>4</v>
      </c>
      <c r="F303" s="638">
        <v>109</v>
      </c>
    </row>
    <row r="304" spans="1:6" ht="12.75">
      <c r="A304" s="631" t="s">
        <v>666</v>
      </c>
      <c r="B304" s="636">
        <v>880</v>
      </c>
      <c r="C304" s="636">
        <v>77</v>
      </c>
      <c r="D304" s="636">
        <v>245</v>
      </c>
      <c r="E304" s="636">
        <v>36</v>
      </c>
      <c r="F304" s="636">
        <v>63</v>
      </c>
    </row>
    <row r="305" spans="1:6" ht="12.75">
      <c r="A305" s="637" t="s">
        <v>667</v>
      </c>
      <c r="B305" s="638">
        <v>888</v>
      </c>
      <c r="C305" s="638">
        <v>212</v>
      </c>
      <c r="D305" s="638">
        <v>327</v>
      </c>
      <c r="E305" s="638">
        <v>4</v>
      </c>
      <c r="F305" s="638">
        <v>94</v>
      </c>
    </row>
    <row r="306" spans="1:6" ht="12.75">
      <c r="A306" s="631" t="s">
        <v>669</v>
      </c>
      <c r="B306" s="636">
        <v>291</v>
      </c>
      <c r="C306" s="636">
        <v>78</v>
      </c>
      <c r="D306" s="636">
        <v>149</v>
      </c>
      <c r="E306" s="636">
        <v>4</v>
      </c>
      <c r="F306" s="636">
        <v>45</v>
      </c>
    </row>
    <row r="307" spans="1:6" ht="12.75">
      <c r="A307" s="637" t="s">
        <v>670</v>
      </c>
      <c r="B307" s="638">
        <v>115</v>
      </c>
      <c r="C307" s="638">
        <v>22</v>
      </c>
      <c r="D307" s="638">
        <v>74</v>
      </c>
      <c r="E307" s="638">
        <v>0</v>
      </c>
      <c r="F307" s="638">
        <v>11</v>
      </c>
    </row>
    <row r="308" spans="1:6" ht="12.75">
      <c r="A308" s="631" t="s">
        <v>671</v>
      </c>
      <c r="B308" s="636">
        <v>910</v>
      </c>
      <c r="C308" s="636">
        <v>182</v>
      </c>
      <c r="D308" s="636">
        <v>254</v>
      </c>
      <c r="E308" s="636">
        <v>10</v>
      </c>
      <c r="F308" s="636">
        <v>38</v>
      </c>
    </row>
    <row r="309" spans="1:6" ht="12.75">
      <c r="A309" s="637" t="s">
        <v>668</v>
      </c>
      <c r="B309" s="638">
        <v>961</v>
      </c>
      <c r="C309" s="638">
        <v>209</v>
      </c>
      <c r="D309" s="638">
        <v>353</v>
      </c>
      <c r="E309" s="638">
        <v>13</v>
      </c>
      <c r="F309" s="638">
        <v>92</v>
      </c>
    </row>
    <row r="310" spans="1:6" ht="12.75">
      <c r="A310" s="631" t="s">
        <v>672</v>
      </c>
      <c r="B310" s="636">
        <v>126</v>
      </c>
      <c r="C310" s="636">
        <v>24</v>
      </c>
      <c r="D310" s="636">
        <v>42</v>
      </c>
      <c r="E310" s="636">
        <v>8</v>
      </c>
      <c r="F310" s="636">
        <v>29</v>
      </c>
    </row>
    <row r="311" spans="1:6" ht="12.75">
      <c r="A311" s="637" t="s">
        <v>673</v>
      </c>
      <c r="B311" s="638">
        <v>1188</v>
      </c>
      <c r="C311" s="638">
        <v>317</v>
      </c>
      <c r="D311" s="638">
        <v>549</v>
      </c>
      <c r="E311" s="638">
        <v>11</v>
      </c>
      <c r="F311" s="638">
        <v>75</v>
      </c>
    </row>
    <row r="312" spans="1:6" ht="12.75">
      <c r="A312" s="631" t="s">
        <v>674</v>
      </c>
      <c r="B312" s="636">
        <v>35</v>
      </c>
      <c r="C312" s="636">
        <v>6</v>
      </c>
      <c r="D312" s="636">
        <v>21</v>
      </c>
      <c r="E312" s="636">
        <v>0</v>
      </c>
      <c r="F312" s="636">
        <v>3</v>
      </c>
    </row>
    <row r="313" spans="1:6" ht="12.75">
      <c r="A313" s="637" t="s">
        <v>675</v>
      </c>
      <c r="B313" s="638">
        <v>2440</v>
      </c>
      <c r="C313" s="638">
        <v>385</v>
      </c>
      <c r="D313" s="638">
        <v>968</v>
      </c>
      <c r="E313" s="638">
        <v>12</v>
      </c>
      <c r="F313" s="638">
        <v>106</v>
      </c>
    </row>
    <row r="314" spans="1:6" ht="12.75">
      <c r="A314" s="631" t="s">
        <v>676</v>
      </c>
      <c r="B314" s="636">
        <v>469</v>
      </c>
      <c r="C314" s="636">
        <v>97</v>
      </c>
      <c r="D314" s="636">
        <v>195</v>
      </c>
      <c r="E314" s="636">
        <v>1</v>
      </c>
      <c r="F314" s="636">
        <v>19</v>
      </c>
    </row>
    <row r="315" spans="1:6" ht="12.75">
      <c r="A315" s="637" t="s">
        <v>1206</v>
      </c>
      <c r="B315" s="638">
        <v>10459</v>
      </c>
      <c r="C315" s="638">
        <v>1443</v>
      </c>
      <c r="D315" s="638">
        <v>2374</v>
      </c>
      <c r="E315" s="638">
        <v>87</v>
      </c>
      <c r="F315" s="638">
        <v>455</v>
      </c>
    </row>
    <row r="316" spans="1:6" ht="12.75">
      <c r="A316" s="631" t="s">
        <v>1111</v>
      </c>
      <c r="B316" s="636">
        <v>223</v>
      </c>
      <c r="C316" s="636">
        <v>32</v>
      </c>
      <c r="D316" s="636">
        <v>93</v>
      </c>
      <c r="E316" s="636">
        <v>1</v>
      </c>
      <c r="F316" s="636">
        <v>13</v>
      </c>
    </row>
    <row r="317" spans="1:6" ht="12.75">
      <c r="A317" s="637" t="s">
        <v>1207</v>
      </c>
      <c r="B317" s="638">
        <v>751</v>
      </c>
      <c r="C317" s="638">
        <v>106</v>
      </c>
      <c r="D317" s="638">
        <v>232</v>
      </c>
      <c r="E317" s="638">
        <v>1</v>
      </c>
      <c r="F317" s="638">
        <v>37</v>
      </c>
    </row>
    <row r="318" spans="1:6" ht="12.75">
      <c r="A318" s="631" t="s">
        <v>1112</v>
      </c>
      <c r="B318" s="636">
        <v>74</v>
      </c>
      <c r="C318" s="636">
        <v>13</v>
      </c>
      <c r="D318" s="636">
        <v>35</v>
      </c>
      <c r="E318" s="636">
        <v>2</v>
      </c>
      <c r="F318" s="636">
        <v>13</v>
      </c>
    </row>
    <row r="319" spans="1:6" ht="12.75">
      <c r="A319" s="637" t="s">
        <v>1113</v>
      </c>
      <c r="B319" s="638">
        <v>135</v>
      </c>
      <c r="C319" s="638">
        <v>37</v>
      </c>
      <c r="D319" s="638">
        <v>76</v>
      </c>
      <c r="E319" s="638">
        <v>0</v>
      </c>
      <c r="F319" s="638">
        <v>22</v>
      </c>
    </row>
    <row r="320" spans="1:6" ht="12.75">
      <c r="A320" s="631" t="s">
        <v>1208</v>
      </c>
      <c r="B320" s="636">
        <v>415</v>
      </c>
      <c r="C320" s="636">
        <v>30</v>
      </c>
      <c r="D320" s="636">
        <v>194</v>
      </c>
      <c r="E320" s="636">
        <v>0</v>
      </c>
      <c r="F320" s="636">
        <v>28</v>
      </c>
    </row>
    <row r="321" spans="1:6" ht="12.75">
      <c r="A321" s="637" t="s">
        <v>677</v>
      </c>
      <c r="B321" s="638">
        <v>130</v>
      </c>
      <c r="C321" s="638">
        <v>85</v>
      </c>
      <c r="D321" s="638">
        <v>53</v>
      </c>
      <c r="E321" s="638">
        <v>0</v>
      </c>
      <c r="F321" s="638">
        <v>6</v>
      </c>
    </row>
    <row r="322" spans="1:6" ht="12.75">
      <c r="A322" s="631" t="s">
        <v>678</v>
      </c>
      <c r="B322" s="636">
        <v>1621</v>
      </c>
      <c r="C322" s="636">
        <v>173</v>
      </c>
      <c r="D322" s="636">
        <v>656</v>
      </c>
      <c r="E322" s="636">
        <v>19</v>
      </c>
      <c r="F322" s="636">
        <v>113</v>
      </c>
    </row>
    <row r="323" spans="1:6" ht="12.75">
      <c r="A323" s="637" t="s">
        <v>679</v>
      </c>
      <c r="B323" s="638">
        <v>337</v>
      </c>
      <c r="C323" s="638">
        <v>75</v>
      </c>
      <c r="D323" s="638">
        <v>178</v>
      </c>
      <c r="E323" s="638">
        <v>0</v>
      </c>
      <c r="F323" s="638">
        <v>32</v>
      </c>
    </row>
    <row r="324" spans="1:6" ht="12.75">
      <c r="A324" s="631" t="s">
        <v>1209</v>
      </c>
      <c r="B324" s="636">
        <v>150</v>
      </c>
      <c r="C324" s="636">
        <v>29</v>
      </c>
      <c r="D324" s="636">
        <v>69</v>
      </c>
      <c r="E324" s="636">
        <v>0</v>
      </c>
      <c r="F324" s="636">
        <v>8</v>
      </c>
    </row>
    <row r="325" spans="1:6" ht="12.75">
      <c r="A325" s="637" t="s">
        <v>1210</v>
      </c>
      <c r="B325" s="638">
        <v>8472</v>
      </c>
      <c r="C325" s="638">
        <v>1445</v>
      </c>
      <c r="D325" s="638">
        <v>1664</v>
      </c>
      <c r="E325" s="638">
        <v>57</v>
      </c>
      <c r="F325" s="638">
        <v>323</v>
      </c>
    </row>
    <row r="326" spans="1:6" ht="12.75">
      <c r="A326" s="631" t="s">
        <v>680</v>
      </c>
      <c r="B326" s="636">
        <v>376</v>
      </c>
      <c r="C326" s="636">
        <v>48</v>
      </c>
      <c r="D326" s="636">
        <v>129</v>
      </c>
      <c r="E326" s="636">
        <v>8</v>
      </c>
      <c r="F326" s="636">
        <v>40</v>
      </c>
    </row>
    <row r="327" spans="1:6" ht="12.75">
      <c r="A327" s="637" t="s">
        <v>681</v>
      </c>
      <c r="B327" s="638">
        <v>108</v>
      </c>
      <c r="C327" s="638">
        <v>30</v>
      </c>
      <c r="D327" s="638">
        <v>34</v>
      </c>
      <c r="E327" s="638">
        <v>1</v>
      </c>
      <c r="F327" s="638">
        <v>5</v>
      </c>
    </row>
    <row r="328" spans="1:6" ht="12.75">
      <c r="A328" s="631" t="s">
        <v>682</v>
      </c>
      <c r="B328" s="636">
        <v>531</v>
      </c>
      <c r="C328" s="636">
        <v>81</v>
      </c>
      <c r="D328" s="636">
        <v>200</v>
      </c>
      <c r="E328" s="636">
        <v>1</v>
      </c>
      <c r="F328" s="636">
        <v>24</v>
      </c>
    </row>
    <row r="329" spans="1:6" ht="12.75">
      <c r="A329" s="637" t="s">
        <v>683</v>
      </c>
      <c r="B329" s="638">
        <v>21217</v>
      </c>
      <c r="C329" s="638">
        <v>4444</v>
      </c>
      <c r="D329" s="638">
        <v>3670</v>
      </c>
      <c r="E329" s="638">
        <v>133</v>
      </c>
      <c r="F329" s="638">
        <v>757</v>
      </c>
    </row>
    <row r="330" spans="1:6" ht="12.75">
      <c r="A330" s="631" t="s">
        <v>684</v>
      </c>
      <c r="B330" s="636">
        <v>199</v>
      </c>
      <c r="C330" s="636">
        <v>19</v>
      </c>
      <c r="D330" s="636">
        <v>73</v>
      </c>
      <c r="E330" s="636">
        <v>3</v>
      </c>
      <c r="F330" s="636">
        <v>26</v>
      </c>
    </row>
    <row r="331" spans="1:6" ht="12.75">
      <c r="A331" s="637" t="s">
        <v>685</v>
      </c>
      <c r="B331" s="638">
        <v>3617</v>
      </c>
      <c r="C331" s="638">
        <v>704</v>
      </c>
      <c r="D331" s="638">
        <v>596</v>
      </c>
      <c r="E331" s="638">
        <v>13</v>
      </c>
      <c r="F331" s="638">
        <v>134</v>
      </c>
    </row>
    <row r="332" spans="1:6" ht="12.75">
      <c r="A332" s="631" t="s">
        <v>686</v>
      </c>
      <c r="B332" s="636">
        <v>228</v>
      </c>
      <c r="C332" s="636">
        <v>63</v>
      </c>
      <c r="D332" s="636">
        <v>160</v>
      </c>
      <c r="E332" s="636">
        <v>0</v>
      </c>
      <c r="F332" s="636">
        <v>35</v>
      </c>
    </row>
    <row r="333" spans="1:6" ht="12.75">
      <c r="A333" s="637" t="s">
        <v>687</v>
      </c>
      <c r="B333" s="638">
        <v>792</v>
      </c>
      <c r="C333" s="638">
        <v>88</v>
      </c>
      <c r="D333" s="638">
        <v>241</v>
      </c>
      <c r="E333" s="638">
        <v>11</v>
      </c>
      <c r="F333" s="638">
        <v>90</v>
      </c>
    </row>
    <row r="334" spans="1:6" ht="12.75">
      <c r="A334" s="631" t="s">
        <v>688</v>
      </c>
      <c r="B334" s="636">
        <v>473</v>
      </c>
      <c r="C334" s="636">
        <v>109</v>
      </c>
      <c r="D334" s="636">
        <v>218</v>
      </c>
      <c r="E334" s="636">
        <v>0</v>
      </c>
      <c r="F334" s="636">
        <v>31</v>
      </c>
    </row>
    <row r="335" spans="1:6" ht="12.75">
      <c r="A335" s="637" t="s">
        <v>974</v>
      </c>
      <c r="B335" s="638">
        <v>47873</v>
      </c>
      <c r="C335" s="638">
        <v>11215</v>
      </c>
      <c r="D335" s="638">
        <v>10333</v>
      </c>
      <c r="E335" s="638">
        <v>290</v>
      </c>
      <c r="F335" s="638">
        <v>1638</v>
      </c>
    </row>
    <row r="336" spans="1:6" ht="12.75">
      <c r="A336" s="631" t="s">
        <v>689</v>
      </c>
      <c r="B336" s="636">
        <v>2835</v>
      </c>
      <c r="C336" s="636">
        <v>437</v>
      </c>
      <c r="D336" s="636">
        <v>729</v>
      </c>
      <c r="E336" s="636">
        <v>25</v>
      </c>
      <c r="F336" s="636">
        <v>176</v>
      </c>
    </row>
    <row r="337" spans="1:6" ht="12.75">
      <c r="A337" s="637" t="s">
        <v>690</v>
      </c>
      <c r="B337" s="638">
        <v>19</v>
      </c>
      <c r="C337" s="638">
        <v>7</v>
      </c>
      <c r="D337" s="638">
        <v>19</v>
      </c>
      <c r="E337" s="638">
        <v>0</v>
      </c>
      <c r="F337" s="638">
        <v>4</v>
      </c>
    </row>
    <row r="338" spans="1:6" ht="12.75">
      <c r="A338" s="631" t="s">
        <v>691</v>
      </c>
      <c r="B338" s="636">
        <v>342</v>
      </c>
      <c r="C338" s="636">
        <v>40</v>
      </c>
      <c r="D338" s="636">
        <v>211</v>
      </c>
      <c r="E338" s="636">
        <v>0</v>
      </c>
      <c r="F338" s="636">
        <v>20</v>
      </c>
    </row>
    <row r="339" spans="1:6" ht="12.75">
      <c r="A339" s="637" t="s">
        <v>692</v>
      </c>
      <c r="B339" s="638">
        <v>1328</v>
      </c>
      <c r="C339" s="638">
        <v>140</v>
      </c>
      <c r="D339" s="638">
        <v>369</v>
      </c>
      <c r="E339" s="638">
        <v>113</v>
      </c>
      <c r="F339" s="638">
        <v>191</v>
      </c>
    </row>
    <row r="340" spans="1:6" ht="12.75">
      <c r="A340" s="631" t="s">
        <v>693</v>
      </c>
      <c r="B340" s="636">
        <v>106</v>
      </c>
      <c r="C340" s="636">
        <v>26</v>
      </c>
      <c r="D340" s="636">
        <v>64</v>
      </c>
      <c r="E340" s="636">
        <v>0</v>
      </c>
      <c r="F340" s="636">
        <v>11</v>
      </c>
    </row>
    <row r="341" spans="1:6" ht="12.75">
      <c r="A341" s="637" t="s">
        <v>694</v>
      </c>
      <c r="B341" s="638">
        <v>115</v>
      </c>
      <c r="C341" s="638">
        <v>26</v>
      </c>
      <c r="D341" s="638">
        <v>80</v>
      </c>
      <c r="E341" s="638">
        <v>0</v>
      </c>
      <c r="F341" s="638">
        <v>21</v>
      </c>
    </row>
    <row r="342" spans="1:6" ht="12.75">
      <c r="A342" s="631" t="s">
        <v>1211</v>
      </c>
      <c r="B342" s="636">
        <v>1215</v>
      </c>
      <c r="C342" s="636">
        <v>222</v>
      </c>
      <c r="D342" s="636">
        <v>306</v>
      </c>
      <c r="E342" s="636">
        <v>14</v>
      </c>
      <c r="F342" s="636">
        <v>74</v>
      </c>
    </row>
    <row r="343" spans="1:6" ht="12.75">
      <c r="A343" s="637" t="s">
        <v>1212</v>
      </c>
      <c r="B343" s="638">
        <v>443</v>
      </c>
      <c r="C343" s="638">
        <v>69</v>
      </c>
      <c r="D343" s="638">
        <v>167</v>
      </c>
      <c r="E343" s="638">
        <v>8</v>
      </c>
      <c r="F343" s="638">
        <v>35</v>
      </c>
    </row>
    <row r="344" spans="1:6" ht="12.75">
      <c r="A344" s="631" t="s">
        <v>695</v>
      </c>
      <c r="B344" s="636">
        <v>65</v>
      </c>
      <c r="C344" s="636">
        <v>31</v>
      </c>
      <c r="D344" s="636">
        <v>77</v>
      </c>
      <c r="E344" s="636">
        <v>35</v>
      </c>
      <c r="F344" s="636">
        <v>87</v>
      </c>
    </row>
    <row r="345" spans="1:6" ht="12.75">
      <c r="A345" s="637" t="s">
        <v>1213</v>
      </c>
      <c r="B345" s="638">
        <v>585</v>
      </c>
      <c r="C345" s="638">
        <v>111</v>
      </c>
      <c r="D345" s="638">
        <v>242</v>
      </c>
      <c r="E345" s="638">
        <v>12</v>
      </c>
      <c r="F345" s="638">
        <v>47</v>
      </c>
    </row>
    <row r="346" spans="1:6" ht="12.75">
      <c r="A346" s="631" t="s">
        <v>696</v>
      </c>
      <c r="B346" s="636">
        <v>29770</v>
      </c>
      <c r="C346" s="636">
        <v>4209</v>
      </c>
      <c r="D346" s="636">
        <v>5760</v>
      </c>
      <c r="E346" s="636">
        <v>308</v>
      </c>
      <c r="F346" s="636">
        <v>1203</v>
      </c>
    </row>
    <row r="347" spans="1:6" ht="12.75">
      <c r="A347" s="637" t="s">
        <v>697</v>
      </c>
      <c r="B347" s="638">
        <v>129</v>
      </c>
      <c r="C347" s="638">
        <v>11</v>
      </c>
      <c r="D347" s="638">
        <v>59</v>
      </c>
      <c r="E347" s="638">
        <v>13</v>
      </c>
      <c r="F347" s="638">
        <v>27</v>
      </c>
    </row>
    <row r="348" spans="1:6" ht="12.75">
      <c r="A348" s="631" t="s">
        <v>698</v>
      </c>
      <c r="B348" s="636">
        <v>119</v>
      </c>
      <c r="C348" s="636">
        <v>28</v>
      </c>
      <c r="D348" s="636">
        <v>50</v>
      </c>
      <c r="E348" s="636">
        <v>0</v>
      </c>
      <c r="F348" s="636">
        <v>10</v>
      </c>
    </row>
    <row r="349" spans="1:6" ht="12.75">
      <c r="A349" s="637" t="s">
        <v>699</v>
      </c>
      <c r="B349" s="638">
        <v>162</v>
      </c>
      <c r="C349" s="638">
        <v>12</v>
      </c>
      <c r="D349" s="638">
        <v>37</v>
      </c>
      <c r="E349" s="638">
        <v>1</v>
      </c>
      <c r="F349" s="638">
        <v>9</v>
      </c>
    </row>
    <row r="350" spans="1:6" ht="12.75">
      <c r="A350" s="631" t="s">
        <v>700</v>
      </c>
      <c r="B350" s="636">
        <v>184</v>
      </c>
      <c r="C350" s="636">
        <v>32</v>
      </c>
      <c r="D350" s="636">
        <v>122</v>
      </c>
      <c r="E350" s="636">
        <v>0</v>
      </c>
      <c r="F350" s="636">
        <v>20</v>
      </c>
    </row>
    <row r="351" spans="1:6" ht="12.75">
      <c r="A351" s="637" t="s">
        <v>701</v>
      </c>
      <c r="B351" s="638">
        <v>845</v>
      </c>
      <c r="C351" s="638">
        <v>120</v>
      </c>
      <c r="D351" s="638">
        <v>235</v>
      </c>
      <c r="E351" s="638">
        <v>19</v>
      </c>
      <c r="F351" s="638">
        <v>46</v>
      </c>
    </row>
    <row r="352" spans="1:6" ht="12.75">
      <c r="A352" s="631" t="s">
        <v>702</v>
      </c>
      <c r="B352" s="636">
        <v>324</v>
      </c>
      <c r="C352" s="636">
        <v>62</v>
      </c>
      <c r="D352" s="636">
        <v>172</v>
      </c>
      <c r="E352" s="636">
        <v>0</v>
      </c>
      <c r="F352" s="636">
        <v>48</v>
      </c>
    </row>
    <row r="353" spans="1:6" ht="12.75">
      <c r="A353" s="637" t="s">
        <v>703</v>
      </c>
      <c r="B353" s="638">
        <v>551</v>
      </c>
      <c r="C353" s="638">
        <v>83</v>
      </c>
      <c r="D353" s="638">
        <v>172</v>
      </c>
      <c r="E353" s="638">
        <v>0</v>
      </c>
      <c r="F353" s="638">
        <v>32</v>
      </c>
    </row>
    <row r="354" spans="1:6" ht="12.75">
      <c r="A354" s="631" t="s">
        <v>1214</v>
      </c>
      <c r="B354" s="636">
        <v>169</v>
      </c>
      <c r="C354" s="636">
        <v>43</v>
      </c>
      <c r="D354" s="636">
        <v>69</v>
      </c>
      <c r="E354" s="636">
        <v>0</v>
      </c>
      <c r="F354" s="636">
        <v>9</v>
      </c>
    </row>
    <row r="355" spans="1:6" ht="12.75">
      <c r="A355" s="637" t="s">
        <v>704</v>
      </c>
      <c r="B355" s="638">
        <v>281</v>
      </c>
      <c r="C355" s="638">
        <v>91</v>
      </c>
      <c r="D355" s="638">
        <v>146</v>
      </c>
      <c r="E355" s="638">
        <v>0</v>
      </c>
      <c r="F355" s="638">
        <v>32</v>
      </c>
    </row>
    <row r="356" spans="1:6" ht="12.75">
      <c r="A356" s="631" t="s">
        <v>705</v>
      </c>
      <c r="B356" s="636">
        <v>188</v>
      </c>
      <c r="C356" s="636">
        <v>13</v>
      </c>
      <c r="D356" s="636">
        <v>52</v>
      </c>
      <c r="E356" s="636">
        <v>0</v>
      </c>
      <c r="F356" s="636">
        <v>12</v>
      </c>
    </row>
    <row r="357" spans="1:6" ht="12.75">
      <c r="A357" s="637" t="s">
        <v>1215</v>
      </c>
      <c r="B357" s="638">
        <v>185</v>
      </c>
      <c r="C357" s="638">
        <v>11</v>
      </c>
      <c r="D357" s="638">
        <v>99</v>
      </c>
      <c r="E357" s="638">
        <v>12</v>
      </c>
      <c r="F357" s="638">
        <v>63</v>
      </c>
    </row>
    <row r="358" spans="1:6" ht="12.75">
      <c r="A358" s="631" t="s">
        <v>706</v>
      </c>
      <c r="B358" s="636">
        <v>3130</v>
      </c>
      <c r="C358" s="636">
        <v>295</v>
      </c>
      <c r="D358" s="636">
        <v>810</v>
      </c>
      <c r="E358" s="636">
        <v>79</v>
      </c>
      <c r="F358" s="636">
        <v>262</v>
      </c>
    </row>
    <row r="359" spans="1:6" ht="12.75">
      <c r="A359" s="637" t="s">
        <v>707</v>
      </c>
      <c r="B359" s="638">
        <v>91</v>
      </c>
      <c r="C359" s="638">
        <v>42</v>
      </c>
      <c r="D359" s="638">
        <v>70</v>
      </c>
      <c r="E359" s="638">
        <v>4</v>
      </c>
      <c r="F359" s="638">
        <v>20</v>
      </c>
    </row>
    <row r="360" spans="1:6" ht="12.75">
      <c r="A360" s="631" t="s">
        <v>708</v>
      </c>
      <c r="B360" s="636">
        <v>1872</v>
      </c>
      <c r="C360" s="636">
        <v>376</v>
      </c>
      <c r="D360" s="636">
        <v>900</v>
      </c>
      <c r="E360" s="636">
        <v>63</v>
      </c>
      <c r="F360" s="636">
        <v>218</v>
      </c>
    </row>
    <row r="361" spans="1:6" ht="12.75">
      <c r="A361" s="637" t="s">
        <v>709</v>
      </c>
      <c r="B361" s="638">
        <v>598</v>
      </c>
      <c r="C361" s="638">
        <v>92</v>
      </c>
      <c r="D361" s="638">
        <v>316</v>
      </c>
      <c r="E361" s="638">
        <v>3</v>
      </c>
      <c r="F361" s="638">
        <v>48</v>
      </c>
    </row>
    <row r="362" spans="1:6" ht="12.75">
      <c r="A362" s="631" t="s">
        <v>1216</v>
      </c>
      <c r="B362" s="636">
        <v>88221</v>
      </c>
      <c r="C362" s="636">
        <v>21608</v>
      </c>
      <c r="D362" s="636">
        <v>14558</v>
      </c>
      <c r="E362" s="636">
        <v>406</v>
      </c>
      <c r="F362" s="636">
        <v>2675</v>
      </c>
    </row>
    <row r="363" spans="1:6" ht="12.75">
      <c r="A363" s="637" t="s">
        <v>1217</v>
      </c>
      <c r="B363" s="638">
        <v>1681</v>
      </c>
      <c r="C363" s="638">
        <v>263</v>
      </c>
      <c r="D363" s="638">
        <v>841</v>
      </c>
      <c r="E363" s="638">
        <v>72</v>
      </c>
      <c r="F363" s="638">
        <v>236</v>
      </c>
    </row>
    <row r="364" spans="1:6" ht="12.75">
      <c r="A364" s="631" t="s">
        <v>710</v>
      </c>
      <c r="B364" s="636">
        <v>2281</v>
      </c>
      <c r="C364" s="636">
        <v>332</v>
      </c>
      <c r="D364" s="636">
        <v>540</v>
      </c>
      <c r="E364" s="636">
        <v>17</v>
      </c>
      <c r="F364" s="636">
        <v>81</v>
      </c>
    </row>
    <row r="365" spans="1:6" ht="12.75">
      <c r="A365" s="637" t="s">
        <v>711</v>
      </c>
      <c r="B365" s="638">
        <v>20379</v>
      </c>
      <c r="C365" s="638">
        <v>3952</v>
      </c>
      <c r="D365" s="638">
        <v>4463</v>
      </c>
      <c r="E365" s="638">
        <v>98</v>
      </c>
      <c r="F365" s="638">
        <v>985</v>
      </c>
    </row>
    <row r="366" spans="1:6" ht="12.75">
      <c r="A366" s="631" t="s">
        <v>712</v>
      </c>
      <c r="B366" s="636">
        <v>642</v>
      </c>
      <c r="C366" s="636">
        <v>76</v>
      </c>
      <c r="D366" s="636">
        <v>280</v>
      </c>
      <c r="E366" s="636">
        <v>1</v>
      </c>
      <c r="F366" s="636">
        <v>73</v>
      </c>
    </row>
    <row r="367" spans="1:6" ht="12.75">
      <c r="A367" s="637" t="s">
        <v>713</v>
      </c>
      <c r="B367" s="638">
        <v>166</v>
      </c>
      <c r="C367" s="638">
        <v>101</v>
      </c>
      <c r="D367" s="638">
        <v>103</v>
      </c>
      <c r="E367" s="638">
        <v>3</v>
      </c>
      <c r="F367" s="638">
        <v>33</v>
      </c>
    </row>
    <row r="368" spans="1:6" ht="12.75">
      <c r="A368" s="631" t="s">
        <v>714</v>
      </c>
      <c r="B368" s="636">
        <v>988</v>
      </c>
      <c r="C368" s="636">
        <v>154</v>
      </c>
      <c r="D368" s="636">
        <v>292</v>
      </c>
      <c r="E368" s="636">
        <v>7</v>
      </c>
      <c r="F368" s="636">
        <v>55</v>
      </c>
    </row>
    <row r="369" spans="1:6" ht="12.75">
      <c r="A369" s="637" t="s">
        <v>715</v>
      </c>
      <c r="B369" s="638">
        <v>223</v>
      </c>
      <c r="C369" s="638">
        <v>28</v>
      </c>
      <c r="D369" s="638">
        <v>90</v>
      </c>
      <c r="E369" s="638">
        <v>0</v>
      </c>
      <c r="F369" s="638">
        <v>23</v>
      </c>
    </row>
    <row r="370" spans="1:6" ht="12.75">
      <c r="A370" s="631" t="s">
        <v>1145</v>
      </c>
      <c r="B370" s="636">
        <v>86</v>
      </c>
      <c r="C370" s="636">
        <v>8</v>
      </c>
      <c r="D370" s="636">
        <v>20</v>
      </c>
      <c r="E370" s="636">
        <v>0</v>
      </c>
      <c r="F370" s="636">
        <v>4</v>
      </c>
    </row>
    <row r="371" spans="1:6" ht="12.75">
      <c r="A371" s="637" t="s">
        <v>716</v>
      </c>
      <c r="B371" s="638">
        <v>264</v>
      </c>
      <c r="C371" s="638">
        <v>74</v>
      </c>
      <c r="D371" s="638">
        <v>93</v>
      </c>
      <c r="E371" s="638">
        <v>0</v>
      </c>
      <c r="F371" s="638">
        <v>17</v>
      </c>
    </row>
    <row r="372" spans="1:6" ht="12.75">
      <c r="A372" s="631" t="s">
        <v>1218</v>
      </c>
      <c r="B372" s="636">
        <v>2009</v>
      </c>
      <c r="C372" s="636">
        <v>283</v>
      </c>
      <c r="D372" s="636">
        <v>552</v>
      </c>
      <c r="E372" s="636">
        <v>33</v>
      </c>
      <c r="F372" s="636">
        <v>57</v>
      </c>
    </row>
    <row r="373" spans="1:6" ht="12.75">
      <c r="A373" s="637" t="s">
        <v>717</v>
      </c>
      <c r="B373" s="638">
        <v>456</v>
      </c>
      <c r="C373" s="638">
        <v>119</v>
      </c>
      <c r="D373" s="638">
        <v>160</v>
      </c>
      <c r="E373" s="638">
        <v>0</v>
      </c>
      <c r="F373" s="638">
        <v>37</v>
      </c>
    </row>
    <row r="374" spans="1:6" ht="12.75">
      <c r="A374" s="631" t="s">
        <v>718</v>
      </c>
      <c r="B374" s="636">
        <v>71</v>
      </c>
      <c r="C374" s="636">
        <v>11</v>
      </c>
      <c r="D374" s="636">
        <v>45</v>
      </c>
      <c r="E374" s="636">
        <v>0</v>
      </c>
      <c r="F374" s="636">
        <v>14</v>
      </c>
    </row>
    <row r="375" spans="1:6" ht="12.75">
      <c r="A375" s="637" t="s">
        <v>719</v>
      </c>
      <c r="B375" s="638">
        <v>172</v>
      </c>
      <c r="C375" s="638">
        <v>38</v>
      </c>
      <c r="D375" s="638">
        <v>95</v>
      </c>
      <c r="E375" s="638">
        <v>16</v>
      </c>
      <c r="F375" s="638">
        <v>23</v>
      </c>
    </row>
    <row r="376" spans="1:6" ht="12.75">
      <c r="A376" s="631" t="s">
        <v>720</v>
      </c>
      <c r="B376" s="636">
        <v>356</v>
      </c>
      <c r="C376" s="636">
        <v>64</v>
      </c>
      <c r="D376" s="636">
        <v>160</v>
      </c>
      <c r="E376" s="636">
        <v>3</v>
      </c>
      <c r="F376" s="636">
        <v>50</v>
      </c>
    </row>
    <row r="377" spans="1:6" ht="12.75">
      <c r="A377" s="637" t="s">
        <v>721</v>
      </c>
      <c r="B377" s="638">
        <v>1833</v>
      </c>
      <c r="C377" s="638">
        <v>280</v>
      </c>
      <c r="D377" s="638">
        <v>620</v>
      </c>
      <c r="E377" s="638">
        <v>34</v>
      </c>
      <c r="F377" s="638">
        <v>155</v>
      </c>
    </row>
    <row r="378" spans="1:6" ht="12.75">
      <c r="A378" s="631" t="s">
        <v>722</v>
      </c>
      <c r="B378" s="636">
        <v>539</v>
      </c>
      <c r="C378" s="636">
        <v>126</v>
      </c>
      <c r="D378" s="636">
        <v>217</v>
      </c>
      <c r="E378" s="636">
        <v>2</v>
      </c>
      <c r="F378" s="636">
        <v>42</v>
      </c>
    </row>
    <row r="379" spans="1:6" ht="12.75">
      <c r="A379" s="637" t="s">
        <v>723</v>
      </c>
      <c r="B379" s="638">
        <v>1601</v>
      </c>
      <c r="C379" s="638">
        <v>226</v>
      </c>
      <c r="D379" s="638">
        <v>343</v>
      </c>
      <c r="E379" s="638">
        <v>13</v>
      </c>
      <c r="F379" s="638">
        <v>90</v>
      </c>
    </row>
    <row r="380" spans="1:6" ht="12.75">
      <c r="A380" s="631" t="s">
        <v>1219</v>
      </c>
      <c r="B380" s="636">
        <v>560</v>
      </c>
      <c r="C380" s="636">
        <v>136</v>
      </c>
      <c r="D380" s="636">
        <v>260</v>
      </c>
      <c r="E380" s="636">
        <v>6</v>
      </c>
      <c r="F380" s="636">
        <v>46</v>
      </c>
    </row>
    <row r="381" spans="1:6" ht="12.75">
      <c r="A381" s="637" t="s">
        <v>724</v>
      </c>
      <c r="B381" s="638">
        <v>452</v>
      </c>
      <c r="C381" s="638">
        <v>69</v>
      </c>
      <c r="D381" s="638">
        <v>178</v>
      </c>
      <c r="E381" s="638">
        <v>0</v>
      </c>
      <c r="F381" s="638">
        <v>21</v>
      </c>
    </row>
    <row r="382" spans="1:6" ht="12.75">
      <c r="A382" s="631" t="s">
        <v>725</v>
      </c>
      <c r="B382" s="636">
        <v>123</v>
      </c>
      <c r="C382" s="636">
        <v>11</v>
      </c>
      <c r="D382" s="636">
        <v>82</v>
      </c>
      <c r="E382" s="636">
        <v>0</v>
      </c>
      <c r="F382" s="636">
        <v>18</v>
      </c>
    </row>
    <row r="383" spans="1:6" ht="12.75">
      <c r="A383" s="637" t="s">
        <v>726</v>
      </c>
      <c r="B383" s="638">
        <v>143</v>
      </c>
      <c r="C383" s="638">
        <v>17</v>
      </c>
      <c r="D383" s="638">
        <v>80</v>
      </c>
      <c r="E383" s="638">
        <v>0</v>
      </c>
      <c r="F383" s="638">
        <v>14</v>
      </c>
    </row>
    <row r="384" spans="1:6" ht="12.75">
      <c r="A384" s="631" t="s">
        <v>1220</v>
      </c>
      <c r="B384" s="636">
        <v>5819</v>
      </c>
      <c r="C384" s="636">
        <v>747</v>
      </c>
      <c r="D384" s="636">
        <v>936</v>
      </c>
      <c r="E384" s="636">
        <v>54</v>
      </c>
      <c r="F384" s="636">
        <v>227</v>
      </c>
    </row>
    <row r="385" spans="1:6" ht="12.75">
      <c r="A385" s="637" t="s">
        <v>727</v>
      </c>
      <c r="B385" s="638">
        <v>4575</v>
      </c>
      <c r="C385" s="638">
        <v>790</v>
      </c>
      <c r="D385" s="638">
        <v>1524</v>
      </c>
      <c r="E385" s="638">
        <v>36</v>
      </c>
      <c r="F385" s="638">
        <v>224</v>
      </c>
    </row>
    <row r="386" spans="1:6" ht="12.75">
      <c r="A386" s="631" t="s">
        <v>728</v>
      </c>
      <c r="B386" s="636">
        <v>458</v>
      </c>
      <c r="C386" s="636">
        <v>116</v>
      </c>
      <c r="D386" s="636">
        <v>161</v>
      </c>
      <c r="E386" s="636">
        <v>7</v>
      </c>
      <c r="F386" s="636">
        <v>48</v>
      </c>
    </row>
    <row r="387" spans="1:6" ht="12.75">
      <c r="A387" s="637" t="s">
        <v>729</v>
      </c>
      <c r="B387" s="638">
        <v>294</v>
      </c>
      <c r="C387" s="638">
        <v>82</v>
      </c>
      <c r="D387" s="638">
        <v>164</v>
      </c>
      <c r="E387" s="638">
        <v>0</v>
      </c>
      <c r="F387" s="638">
        <v>64</v>
      </c>
    </row>
    <row r="388" spans="1:6" ht="12.75">
      <c r="A388" s="631" t="s">
        <v>730</v>
      </c>
      <c r="B388" s="636">
        <v>2858</v>
      </c>
      <c r="C388" s="636">
        <v>732</v>
      </c>
      <c r="D388" s="636">
        <v>809</v>
      </c>
      <c r="E388" s="636">
        <v>14</v>
      </c>
      <c r="F388" s="636">
        <v>100</v>
      </c>
    </row>
    <row r="389" spans="1:6" ht="12.75">
      <c r="A389" s="637" t="s">
        <v>731</v>
      </c>
      <c r="B389" s="638">
        <v>305</v>
      </c>
      <c r="C389" s="638">
        <v>61</v>
      </c>
      <c r="D389" s="638">
        <v>129</v>
      </c>
      <c r="E389" s="638">
        <v>39</v>
      </c>
      <c r="F389" s="638">
        <v>55</v>
      </c>
    </row>
    <row r="390" spans="1:6" ht="12.75">
      <c r="A390" s="631" t="s">
        <v>732</v>
      </c>
      <c r="B390" s="636">
        <v>153</v>
      </c>
      <c r="C390" s="636">
        <v>35</v>
      </c>
      <c r="D390" s="636">
        <v>89</v>
      </c>
      <c r="E390" s="636">
        <v>0</v>
      </c>
      <c r="F390" s="636">
        <v>16</v>
      </c>
    </row>
    <row r="391" spans="1:6" ht="12.75">
      <c r="A391" s="637" t="s">
        <v>975</v>
      </c>
      <c r="B391" s="638">
        <v>61344</v>
      </c>
      <c r="C391" s="638">
        <v>8889</v>
      </c>
      <c r="D391" s="638">
        <v>13096</v>
      </c>
      <c r="E391" s="638">
        <v>1027</v>
      </c>
      <c r="F391" s="638">
        <v>3277</v>
      </c>
    </row>
    <row r="392" spans="1:6" ht="12.75">
      <c r="A392" s="631" t="s">
        <v>733</v>
      </c>
      <c r="B392" s="636">
        <v>838</v>
      </c>
      <c r="C392" s="636">
        <v>176</v>
      </c>
      <c r="D392" s="636">
        <v>328</v>
      </c>
      <c r="E392" s="636">
        <v>74</v>
      </c>
      <c r="F392" s="636">
        <v>105</v>
      </c>
    </row>
    <row r="393" spans="1:6" ht="12.75">
      <c r="A393" s="637" t="s">
        <v>734</v>
      </c>
      <c r="B393" s="638">
        <v>173</v>
      </c>
      <c r="C393" s="638">
        <v>37</v>
      </c>
      <c r="D393" s="638">
        <v>106</v>
      </c>
      <c r="E393" s="638">
        <v>0</v>
      </c>
      <c r="F393" s="638">
        <v>18</v>
      </c>
    </row>
    <row r="394" spans="1:6" ht="12.75">
      <c r="A394" s="631" t="s">
        <v>735</v>
      </c>
      <c r="B394" s="636">
        <v>9211</v>
      </c>
      <c r="C394" s="636">
        <v>2042</v>
      </c>
      <c r="D394" s="636">
        <v>2068</v>
      </c>
      <c r="E394" s="636">
        <v>102</v>
      </c>
      <c r="F394" s="636">
        <v>479</v>
      </c>
    </row>
    <row r="395" spans="1:6" ht="12.75">
      <c r="A395" s="637" t="s">
        <v>736</v>
      </c>
      <c r="B395" s="638">
        <v>4736</v>
      </c>
      <c r="C395" s="638">
        <v>788</v>
      </c>
      <c r="D395" s="638">
        <v>1510</v>
      </c>
      <c r="E395" s="638">
        <v>110</v>
      </c>
      <c r="F395" s="638">
        <v>473</v>
      </c>
    </row>
    <row r="396" spans="1:6" ht="12.75">
      <c r="A396" s="631" t="s">
        <v>737</v>
      </c>
      <c r="B396" s="636">
        <v>100</v>
      </c>
      <c r="C396" s="636">
        <v>7</v>
      </c>
      <c r="D396" s="636">
        <v>41</v>
      </c>
      <c r="E396" s="636">
        <v>0</v>
      </c>
      <c r="F396" s="636">
        <v>6</v>
      </c>
    </row>
    <row r="397" spans="1:6" ht="12.75">
      <c r="A397" s="637" t="s">
        <v>738</v>
      </c>
      <c r="B397" s="638">
        <v>5253</v>
      </c>
      <c r="C397" s="638">
        <v>966</v>
      </c>
      <c r="D397" s="638">
        <v>1196</v>
      </c>
      <c r="E397" s="638">
        <v>29</v>
      </c>
      <c r="F397" s="638">
        <v>257</v>
      </c>
    </row>
    <row r="398" spans="1:6" ht="12.75">
      <c r="A398" s="631" t="s">
        <v>739</v>
      </c>
      <c r="B398" s="636">
        <v>748</v>
      </c>
      <c r="C398" s="636">
        <v>192</v>
      </c>
      <c r="D398" s="636">
        <v>310</v>
      </c>
      <c r="E398" s="636">
        <v>1</v>
      </c>
      <c r="F398" s="636">
        <v>73</v>
      </c>
    </row>
    <row r="399" spans="1:6" ht="12.75">
      <c r="A399" s="637" t="s">
        <v>1221</v>
      </c>
      <c r="B399" s="638">
        <v>81</v>
      </c>
      <c r="C399" s="638">
        <v>32</v>
      </c>
      <c r="D399" s="638">
        <v>29</v>
      </c>
      <c r="E399" s="638">
        <v>0</v>
      </c>
      <c r="F399" s="638">
        <v>6</v>
      </c>
    </row>
    <row r="400" spans="1:6" ht="12.75">
      <c r="A400" s="631" t="s">
        <v>740</v>
      </c>
      <c r="B400" s="636">
        <v>152</v>
      </c>
      <c r="C400" s="636">
        <v>24</v>
      </c>
      <c r="D400" s="636">
        <v>82</v>
      </c>
      <c r="E400" s="636">
        <v>0</v>
      </c>
      <c r="F400" s="636">
        <v>30</v>
      </c>
    </row>
    <row r="401" spans="1:6" ht="12.75">
      <c r="A401" s="637" t="s">
        <v>741</v>
      </c>
      <c r="B401" s="638">
        <v>74</v>
      </c>
      <c r="C401" s="638">
        <v>21</v>
      </c>
      <c r="D401" s="638">
        <v>32</v>
      </c>
      <c r="E401" s="638">
        <v>0</v>
      </c>
      <c r="F401" s="638">
        <v>8</v>
      </c>
    </row>
    <row r="402" spans="1:6" ht="12.75">
      <c r="A402" s="631" t="s">
        <v>742</v>
      </c>
      <c r="B402" s="636">
        <v>1455</v>
      </c>
      <c r="C402" s="636">
        <v>234</v>
      </c>
      <c r="D402" s="636">
        <v>368</v>
      </c>
      <c r="E402" s="636">
        <v>7</v>
      </c>
      <c r="F402" s="636">
        <v>80</v>
      </c>
    </row>
    <row r="403" spans="1:6" ht="12.75">
      <c r="A403" s="637" t="s">
        <v>743</v>
      </c>
      <c r="B403" s="638">
        <v>16689</v>
      </c>
      <c r="C403" s="638">
        <v>6736</v>
      </c>
      <c r="D403" s="638">
        <v>3550</v>
      </c>
      <c r="E403" s="638">
        <v>55</v>
      </c>
      <c r="F403" s="638">
        <v>800</v>
      </c>
    </row>
    <row r="404" spans="1:6" ht="12.75">
      <c r="A404" s="631" t="s">
        <v>1222</v>
      </c>
      <c r="B404" s="636">
        <v>166</v>
      </c>
      <c r="C404" s="636">
        <v>20</v>
      </c>
      <c r="D404" s="636">
        <v>130</v>
      </c>
      <c r="E404" s="636">
        <v>0</v>
      </c>
      <c r="F404" s="636">
        <v>21</v>
      </c>
    </row>
    <row r="405" spans="1:6" ht="12.75">
      <c r="A405" s="637" t="s">
        <v>744</v>
      </c>
      <c r="B405" s="638">
        <v>167</v>
      </c>
      <c r="C405" s="638">
        <v>25</v>
      </c>
      <c r="D405" s="638">
        <v>85</v>
      </c>
      <c r="E405" s="638">
        <v>1</v>
      </c>
      <c r="F405" s="638">
        <v>21</v>
      </c>
    </row>
    <row r="406" spans="1:6" ht="12.75">
      <c r="A406" s="631" t="s">
        <v>745</v>
      </c>
      <c r="B406" s="636">
        <v>413</v>
      </c>
      <c r="C406" s="636">
        <v>103</v>
      </c>
      <c r="D406" s="636">
        <v>227</v>
      </c>
      <c r="E406" s="636">
        <v>0</v>
      </c>
      <c r="F406" s="636">
        <v>26</v>
      </c>
    </row>
    <row r="407" spans="1:6" ht="12.75">
      <c r="A407" s="637" t="s">
        <v>746</v>
      </c>
      <c r="B407" s="638">
        <v>4157</v>
      </c>
      <c r="C407" s="638">
        <v>663</v>
      </c>
      <c r="D407" s="638">
        <v>1249</v>
      </c>
      <c r="E407" s="638">
        <v>29</v>
      </c>
      <c r="F407" s="638">
        <v>223</v>
      </c>
    </row>
    <row r="408" spans="1:6" ht="12.75">
      <c r="A408" s="631" t="s">
        <v>747</v>
      </c>
      <c r="B408" s="636">
        <v>167</v>
      </c>
      <c r="C408" s="636">
        <v>53</v>
      </c>
      <c r="D408" s="636">
        <v>51</v>
      </c>
      <c r="E408" s="636">
        <v>0</v>
      </c>
      <c r="F408" s="636">
        <v>5</v>
      </c>
    </row>
    <row r="409" spans="1:6" ht="12.75">
      <c r="A409" s="637" t="s">
        <v>748</v>
      </c>
      <c r="B409" s="638">
        <v>290</v>
      </c>
      <c r="C409" s="638">
        <v>70</v>
      </c>
      <c r="D409" s="638">
        <v>132</v>
      </c>
      <c r="E409" s="638">
        <v>0</v>
      </c>
      <c r="F409" s="638">
        <v>27</v>
      </c>
    </row>
    <row r="410" spans="1:6" ht="12.75">
      <c r="A410" s="631" t="s">
        <v>749</v>
      </c>
      <c r="B410" s="636">
        <v>530</v>
      </c>
      <c r="C410" s="636">
        <v>54</v>
      </c>
      <c r="D410" s="636">
        <v>217</v>
      </c>
      <c r="E410" s="636">
        <v>16</v>
      </c>
      <c r="F410" s="636">
        <v>75</v>
      </c>
    </row>
    <row r="411" spans="1:6" ht="12.75">
      <c r="A411" s="637" t="s">
        <v>750</v>
      </c>
      <c r="B411" s="638">
        <v>179</v>
      </c>
      <c r="C411" s="638">
        <v>16</v>
      </c>
      <c r="D411" s="638">
        <v>48</v>
      </c>
      <c r="E411" s="638">
        <v>1</v>
      </c>
      <c r="F411" s="638">
        <v>12</v>
      </c>
    </row>
    <row r="412" spans="1:6" ht="12.75">
      <c r="A412" s="631" t="s">
        <v>751</v>
      </c>
      <c r="B412" s="636">
        <v>8173</v>
      </c>
      <c r="C412" s="636">
        <v>2042</v>
      </c>
      <c r="D412" s="636">
        <v>1641</v>
      </c>
      <c r="E412" s="636">
        <v>24</v>
      </c>
      <c r="F412" s="636">
        <v>184</v>
      </c>
    </row>
    <row r="413" spans="1:6" ht="12.75">
      <c r="A413" s="637" t="s">
        <v>752</v>
      </c>
      <c r="B413" s="638">
        <v>223</v>
      </c>
      <c r="C413" s="638">
        <v>42</v>
      </c>
      <c r="D413" s="638">
        <v>86</v>
      </c>
      <c r="E413" s="638">
        <v>1</v>
      </c>
      <c r="F413" s="638">
        <v>25</v>
      </c>
    </row>
    <row r="414" spans="1:6" ht="12.75">
      <c r="A414" s="631" t="s">
        <v>753</v>
      </c>
      <c r="B414" s="636">
        <v>10287</v>
      </c>
      <c r="C414" s="636">
        <v>1178</v>
      </c>
      <c r="D414" s="636">
        <v>2401</v>
      </c>
      <c r="E414" s="636">
        <v>124</v>
      </c>
      <c r="F414" s="636">
        <v>679</v>
      </c>
    </row>
    <row r="415" spans="1:6" ht="12.75">
      <c r="A415" s="637" t="s">
        <v>1082</v>
      </c>
      <c r="B415" s="638">
        <v>35798</v>
      </c>
      <c r="C415" s="638">
        <v>5972</v>
      </c>
      <c r="D415" s="638">
        <v>7285</v>
      </c>
      <c r="E415" s="638">
        <v>177</v>
      </c>
      <c r="F415" s="638">
        <v>1668</v>
      </c>
    </row>
    <row r="416" spans="1:6" ht="12.75">
      <c r="A416" s="631" t="s">
        <v>754</v>
      </c>
      <c r="B416" s="636">
        <v>379</v>
      </c>
      <c r="C416" s="636">
        <v>62</v>
      </c>
      <c r="D416" s="636">
        <v>138</v>
      </c>
      <c r="E416" s="636">
        <v>3</v>
      </c>
      <c r="F416" s="636">
        <v>22</v>
      </c>
    </row>
    <row r="417" spans="1:6" ht="12.75">
      <c r="A417" s="637" t="s">
        <v>755</v>
      </c>
      <c r="B417" s="638">
        <v>51</v>
      </c>
      <c r="C417" s="638">
        <v>19</v>
      </c>
      <c r="D417" s="638">
        <v>30</v>
      </c>
      <c r="E417" s="638">
        <v>0</v>
      </c>
      <c r="F417" s="638">
        <v>5</v>
      </c>
    </row>
    <row r="418" spans="1:6" ht="12.75">
      <c r="A418" s="631" t="s">
        <v>756</v>
      </c>
      <c r="B418" s="636">
        <v>165</v>
      </c>
      <c r="C418" s="636">
        <v>34</v>
      </c>
      <c r="D418" s="636">
        <v>80</v>
      </c>
      <c r="E418" s="636">
        <v>0</v>
      </c>
      <c r="F418" s="636">
        <v>3</v>
      </c>
    </row>
    <row r="419" spans="1:6" ht="12.75">
      <c r="A419" s="637" t="s">
        <v>757</v>
      </c>
      <c r="B419" s="638">
        <v>16282</v>
      </c>
      <c r="C419" s="638">
        <v>2049</v>
      </c>
      <c r="D419" s="638">
        <v>2170</v>
      </c>
      <c r="E419" s="638">
        <v>99</v>
      </c>
      <c r="F419" s="638">
        <v>585</v>
      </c>
    </row>
    <row r="420" spans="1:6" ht="12.75">
      <c r="A420" s="631" t="s">
        <v>758</v>
      </c>
      <c r="B420" s="636">
        <v>2816</v>
      </c>
      <c r="C420" s="636">
        <v>607</v>
      </c>
      <c r="D420" s="636">
        <v>572</v>
      </c>
      <c r="E420" s="636">
        <v>69</v>
      </c>
      <c r="F420" s="636">
        <v>205</v>
      </c>
    </row>
    <row r="421" spans="1:6" ht="12.75">
      <c r="A421" s="637" t="s">
        <v>759</v>
      </c>
      <c r="B421" s="638">
        <v>269</v>
      </c>
      <c r="C421" s="638">
        <v>56</v>
      </c>
      <c r="D421" s="638">
        <v>190</v>
      </c>
      <c r="E421" s="638">
        <v>2</v>
      </c>
      <c r="F421" s="638">
        <v>26</v>
      </c>
    </row>
    <row r="422" spans="1:6" ht="12.75">
      <c r="A422" s="631" t="s">
        <v>760</v>
      </c>
      <c r="B422" s="636">
        <v>178</v>
      </c>
      <c r="C422" s="636">
        <v>32</v>
      </c>
      <c r="D422" s="636">
        <v>73</v>
      </c>
      <c r="E422" s="636">
        <v>0</v>
      </c>
      <c r="F422" s="636">
        <v>15</v>
      </c>
    </row>
    <row r="423" spans="1:6" ht="12.75">
      <c r="A423" s="637" t="s">
        <v>761</v>
      </c>
      <c r="B423" s="638">
        <v>566</v>
      </c>
      <c r="C423" s="638">
        <v>86</v>
      </c>
      <c r="D423" s="638">
        <v>219</v>
      </c>
      <c r="E423" s="638">
        <v>5</v>
      </c>
      <c r="F423" s="638">
        <v>26</v>
      </c>
    </row>
    <row r="424" spans="1:6" ht="12.75">
      <c r="A424" s="631" t="s">
        <v>1223</v>
      </c>
      <c r="B424" s="636">
        <v>477</v>
      </c>
      <c r="C424" s="636">
        <v>62</v>
      </c>
      <c r="D424" s="636">
        <v>179</v>
      </c>
      <c r="E424" s="636">
        <v>4</v>
      </c>
      <c r="F424" s="636">
        <v>38</v>
      </c>
    </row>
    <row r="425" spans="1:6" ht="12.75">
      <c r="A425" s="637" t="s">
        <v>1224</v>
      </c>
      <c r="B425" s="638">
        <v>1988</v>
      </c>
      <c r="C425" s="638">
        <v>286</v>
      </c>
      <c r="D425" s="638">
        <v>611</v>
      </c>
      <c r="E425" s="638">
        <v>37</v>
      </c>
      <c r="F425" s="638">
        <v>194</v>
      </c>
    </row>
    <row r="426" spans="1:6" ht="12.75">
      <c r="A426" s="631" t="s">
        <v>762</v>
      </c>
      <c r="B426" s="636">
        <v>330</v>
      </c>
      <c r="C426" s="636">
        <v>78</v>
      </c>
      <c r="D426" s="636">
        <v>82</v>
      </c>
      <c r="E426" s="636">
        <v>0</v>
      </c>
      <c r="F426" s="636">
        <v>19</v>
      </c>
    </row>
    <row r="427" spans="1:6" ht="12.75">
      <c r="A427" s="637" t="s">
        <v>1225</v>
      </c>
      <c r="B427" s="638">
        <v>11174</v>
      </c>
      <c r="C427" s="638">
        <v>3310</v>
      </c>
      <c r="D427" s="638">
        <v>1700</v>
      </c>
      <c r="E427" s="638">
        <v>18</v>
      </c>
      <c r="F427" s="638">
        <v>252</v>
      </c>
    </row>
    <row r="428" spans="1:6" ht="12.75">
      <c r="A428" s="631" t="s">
        <v>1226</v>
      </c>
      <c r="B428" s="636">
        <v>184</v>
      </c>
      <c r="C428" s="636">
        <v>39</v>
      </c>
      <c r="D428" s="636">
        <v>52</v>
      </c>
      <c r="E428" s="636">
        <v>0</v>
      </c>
      <c r="F428" s="636">
        <v>21</v>
      </c>
    </row>
    <row r="429" spans="1:6" ht="12.75">
      <c r="A429" s="637" t="s">
        <v>763</v>
      </c>
      <c r="B429" s="638">
        <v>429</v>
      </c>
      <c r="C429" s="638">
        <v>123</v>
      </c>
      <c r="D429" s="638">
        <v>125</v>
      </c>
      <c r="E429" s="638">
        <v>0</v>
      </c>
      <c r="F429" s="638">
        <v>11</v>
      </c>
    </row>
    <row r="430" spans="1:6" ht="12.75">
      <c r="A430" s="631" t="s">
        <v>764</v>
      </c>
      <c r="B430" s="636">
        <v>4762</v>
      </c>
      <c r="C430" s="636">
        <v>770</v>
      </c>
      <c r="D430" s="636">
        <v>950</v>
      </c>
      <c r="E430" s="636">
        <v>55</v>
      </c>
      <c r="F430" s="636">
        <v>274</v>
      </c>
    </row>
    <row r="431" spans="1:6" ht="12.75">
      <c r="A431" s="637" t="s">
        <v>1227</v>
      </c>
      <c r="B431" s="638">
        <v>264</v>
      </c>
      <c r="C431" s="638">
        <v>45</v>
      </c>
      <c r="D431" s="638">
        <v>124</v>
      </c>
      <c r="E431" s="638">
        <v>1</v>
      </c>
      <c r="F431" s="638">
        <v>15</v>
      </c>
    </row>
    <row r="432" spans="1:6" ht="12.75">
      <c r="A432" s="631" t="s">
        <v>765</v>
      </c>
      <c r="B432" s="636">
        <v>336</v>
      </c>
      <c r="C432" s="636">
        <v>41</v>
      </c>
      <c r="D432" s="636">
        <v>122</v>
      </c>
      <c r="E432" s="636">
        <v>1</v>
      </c>
      <c r="F432" s="636">
        <v>23</v>
      </c>
    </row>
    <row r="433" spans="1:6" ht="12.75">
      <c r="A433" s="637" t="s">
        <v>766</v>
      </c>
      <c r="B433" s="638">
        <v>471</v>
      </c>
      <c r="C433" s="638">
        <v>84</v>
      </c>
      <c r="D433" s="638">
        <v>176</v>
      </c>
      <c r="E433" s="638">
        <v>38</v>
      </c>
      <c r="F433" s="638">
        <v>162</v>
      </c>
    </row>
    <row r="434" spans="1:6" ht="12.75">
      <c r="A434" s="631" t="s">
        <v>767</v>
      </c>
      <c r="B434" s="636">
        <v>159</v>
      </c>
      <c r="C434" s="636">
        <v>9</v>
      </c>
      <c r="D434" s="636">
        <v>40</v>
      </c>
      <c r="E434" s="636">
        <v>0</v>
      </c>
      <c r="F434" s="636">
        <v>2</v>
      </c>
    </row>
    <row r="435" spans="1:6" ht="12.75">
      <c r="A435" s="637" t="s">
        <v>768</v>
      </c>
      <c r="B435" s="638">
        <v>4936</v>
      </c>
      <c r="C435" s="638">
        <v>1570</v>
      </c>
      <c r="D435" s="638">
        <v>867</v>
      </c>
      <c r="E435" s="638">
        <v>6</v>
      </c>
      <c r="F435" s="638">
        <v>186</v>
      </c>
    </row>
    <row r="436" spans="1:6" ht="12.75">
      <c r="A436" s="631" t="s">
        <v>769</v>
      </c>
      <c r="B436" s="636">
        <v>52857</v>
      </c>
      <c r="C436" s="636">
        <v>12867</v>
      </c>
      <c r="D436" s="636">
        <v>9678</v>
      </c>
      <c r="E436" s="636">
        <v>132</v>
      </c>
      <c r="F436" s="636">
        <v>1350</v>
      </c>
    </row>
    <row r="437" spans="1:6" ht="12.75">
      <c r="A437" s="637" t="s">
        <v>770</v>
      </c>
      <c r="B437" s="638">
        <v>1341</v>
      </c>
      <c r="C437" s="638">
        <v>261</v>
      </c>
      <c r="D437" s="638">
        <v>363</v>
      </c>
      <c r="E437" s="638">
        <v>1</v>
      </c>
      <c r="F437" s="638">
        <v>83</v>
      </c>
    </row>
    <row r="438" spans="1:6" ht="12.75">
      <c r="A438" s="631" t="s">
        <v>771</v>
      </c>
      <c r="B438" s="636">
        <v>596</v>
      </c>
      <c r="C438" s="636">
        <v>81</v>
      </c>
      <c r="D438" s="636">
        <v>128</v>
      </c>
      <c r="E438" s="636">
        <v>8</v>
      </c>
      <c r="F438" s="636">
        <v>71</v>
      </c>
    </row>
    <row r="439" spans="1:6" ht="12.75">
      <c r="A439" s="637" t="s">
        <v>772</v>
      </c>
      <c r="B439" s="638">
        <v>52</v>
      </c>
      <c r="C439" s="638">
        <v>16</v>
      </c>
      <c r="D439" s="638">
        <v>48</v>
      </c>
      <c r="E439" s="638">
        <v>0</v>
      </c>
      <c r="F439" s="638">
        <v>5</v>
      </c>
    </row>
    <row r="440" spans="1:6" ht="12.75">
      <c r="A440" s="631" t="s">
        <v>773</v>
      </c>
      <c r="B440" s="636">
        <v>205</v>
      </c>
      <c r="C440" s="636">
        <v>56</v>
      </c>
      <c r="D440" s="636">
        <v>107</v>
      </c>
      <c r="E440" s="636">
        <v>0</v>
      </c>
      <c r="F440" s="636">
        <v>14</v>
      </c>
    </row>
    <row r="441" spans="1:6" ht="12.75">
      <c r="A441" s="637" t="s">
        <v>1228</v>
      </c>
      <c r="B441" s="638">
        <v>97</v>
      </c>
      <c r="C441" s="638">
        <v>18</v>
      </c>
      <c r="D441" s="638">
        <v>40</v>
      </c>
      <c r="E441" s="638">
        <v>0</v>
      </c>
      <c r="F441" s="638">
        <v>9</v>
      </c>
    </row>
    <row r="442" spans="1:6" ht="12.75">
      <c r="A442" s="631" t="s">
        <v>774</v>
      </c>
      <c r="B442" s="636">
        <v>887</v>
      </c>
      <c r="C442" s="636">
        <v>134</v>
      </c>
      <c r="D442" s="636">
        <v>311</v>
      </c>
      <c r="E442" s="636">
        <v>21</v>
      </c>
      <c r="F442" s="636">
        <v>74</v>
      </c>
    </row>
    <row r="443" spans="1:6" ht="12.75">
      <c r="A443" s="637" t="s">
        <v>775</v>
      </c>
      <c r="B443" s="638">
        <v>443</v>
      </c>
      <c r="C443" s="638">
        <v>79</v>
      </c>
      <c r="D443" s="638">
        <v>170</v>
      </c>
      <c r="E443" s="638">
        <v>1</v>
      </c>
      <c r="F443" s="638">
        <v>27</v>
      </c>
    </row>
    <row r="444" spans="1:6" ht="12.75">
      <c r="A444" s="631" t="s">
        <v>776</v>
      </c>
      <c r="B444" s="636">
        <v>3020</v>
      </c>
      <c r="C444" s="636">
        <v>530</v>
      </c>
      <c r="D444" s="636">
        <v>989</v>
      </c>
      <c r="E444" s="636">
        <v>16</v>
      </c>
      <c r="F444" s="636">
        <v>197</v>
      </c>
    </row>
    <row r="445" spans="1:6" ht="12.75">
      <c r="A445" s="637" t="s">
        <v>1229</v>
      </c>
      <c r="B445" s="638">
        <v>164</v>
      </c>
      <c r="C445" s="638">
        <v>35</v>
      </c>
      <c r="D445" s="638">
        <v>70</v>
      </c>
      <c r="E445" s="638">
        <v>0</v>
      </c>
      <c r="F445" s="638">
        <v>8</v>
      </c>
    </row>
    <row r="446" spans="1:6" ht="12.75">
      <c r="A446" s="631" t="s">
        <v>777</v>
      </c>
      <c r="B446" s="636">
        <v>11951</v>
      </c>
      <c r="C446" s="636">
        <v>2718</v>
      </c>
      <c r="D446" s="636">
        <v>2199</v>
      </c>
      <c r="E446" s="636">
        <v>113</v>
      </c>
      <c r="F446" s="636">
        <v>527</v>
      </c>
    </row>
    <row r="447" spans="1:6" ht="12.75">
      <c r="A447" s="637" t="s">
        <v>778</v>
      </c>
      <c r="B447" s="638">
        <v>6878</v>
      </c>
      <c r="C447" s="638">
        <v>763</v>
      </c>
      <c r="D447" s="638">
        <v>1258</v>
      </c>
      <c r="E447" s="638">
        <v>134</v>
      </c>
      <c r="F447" s="638">
        <v>438</v>
      </c>
    </row>
    <row r="448" spans="1:6" ht="12.75">
      <c r="A448" s="631" t="s">
        <v>779</v>
      </c>
      <c r="B448" s="636">
        <v>121</v>
      </c>
      <c r="C448" s="636">
        <v>24</v>
      </c>
      <c r="D448" s="636">
        <v>50</v>
      </c>
      <c r="E448" s="636">
        <v>0</v>
      </c>
      <c r="F448" s="636">
        <v>3</v>
      </c>
    </row>
    <row r="449" spans="1:6" ht="12.75">
      <c r="A449" s="637" t="s">
        <v>780</v>
      </c>
      <c r="B449" s="638">
        <v>24314</v>
      </c>
      <c r="C449" s="638">
        <v>3250</v>
      </c>
      <c r="D449" s="638">
        <v>3351</v>
      </c>
      <c r="E449" s="638">
        <v>228</v>
      </c>
      <c r="F449" s="638">
        <v>693</v>
      </c>
    </row>
    <row r="450" spans="1:6" ht="12.75">
      <c r="A450" s="631" t="s">
        <v>781</v>
      </c>
      <c r="B450" s="636">
        <v>185</v>
      </c>
      <c r="C450" s="636">
        <v>55</v>
      </c>
      <c r="D450" s="636">
        <v>109</v>
      </c>
      <c r="E450" s="636">
        <v>1</v>
      </c>
      <c r="F450" s="636">
        <v>22</v>
      </c>
    </row>
    <row r="451" spans="1:6" ht="12.75">
      <c r="A451" s="637" t="s">
        <v>1230</v>
      </c>
      <c r="B451" s="638">
        <v>88</v>
      </c>
      <c r="C451" s="638">
        <v>12</v>
      </c>
      <c r="D451" s="638">
        <v>41</v>
      </c>
      <c r="E451" s="638">
        <v>0</v>
      </c>
      <c r="F451" s="638">
        <v>8</v>
      </c>
    </row>
    <row r="452" spans="1:6" ht="12.75">
      <c r="A452" s="631" t="s">
        <v>782</v>
      </c>
      <c r="B452" s="636">
        <v>436</v>
      </c>
      <c r="C452" s="636">
        <v>72</v>
      </c>
      <c r="D452" s="636">
        <v>123</v>
      </c>
      <c r="E452" s="636">
        <v>2</v>
      </c>
      <c r="F452" s="636">
        <v>21</v>
      </c>
    </row>
    <row r="453" spans="1:6" ht="12.75">
      <c r="A453" s="637" t="s">
        <v>783</v>
      </c>
      <c r="B453" s="638">
        <v>1553</v>
      </c>
      <c r="C453" s="638">
        <v>270</v>
      </c>
      <c r="D453" s="638">
        <v>284</v>
      </c>
      <c r="E453" s="638">
        <v>4</v>
      </c>
      <c r="F453" s="638">
        <v>56</v>
      </c>
    </row>
    <row r="454" spans="1:6" ht="12.75">
      <c r="A454" s="631" t="s">
        <v>787</v>
      </c>
      <c r="B454" s="636">
        <v>560</v>
      </c>
      <c r="C454" s="636">
        <v>123</v>
      </c>
      <c r="D454" s="636">
        <v>292</v>
      </c>
      <c r="E454" s="636">
        <v>1</v>
      </c>
      <c r="F454" s="636">
        <v>36</v>
      </c>
    </row>
    <row r="455" spans="1:6" ht="12.75">
      <c r="A455" s="637" t="s">
        <v>788</v>
      </c>
      <c r="B455" s="638">
        <v>3897</v>
      </c>
      <c r="C455" s="638">
        <v>490</v>
      </c>
      <c r="D455" s="638">
        <v>1094</v>
      </c>
      <c r="E455" s="638">
        <v>35</v>
      </c>
      <c r="F455" s="638">
        <v>258</v>
      </c>
    </row>
    <row r="456" spans="1:6" ht="12.75">
      <c r="A456" s="631" t="s">
        <v>789</v>
      </c>
      <c r="B456" s="636">
        <v>1576</v>
      </c>
      <c r="C456" s="636">
        <v>309</v>
      </c>
      <c r="D456" s="636">
        <v>375</v>
      </c>
      <c r="E456" s="636">
        <v>7</v>
      </c>
      <c r="F456" s="636">
        <v>53</v>
      </c>
    </row>
    <row r="457" spans="1:6" ht="12.75">
      <c r="A457" s="637" t="s">
        <v>790</v>
      </c>
      <c r="B457" s="638">
        <v>17720</v>
      </c>
      <c r="C457" s="638">
        <v>3196</v>
      </c>
      <c r="D457" s="638">
        <v>3934</v>
      </c>
      <c r="E457" s="638">
        <v>128</v>
      </c>
      <c r="F457" s="638">
        <v>897</v>
      </c>
    </row>
    <row r="458" spans="1:6" ht="12.75">
      <c r="A458" s="631" t="s">
        <v>791</v>
      </c>
      <c r="B458" s="636">
        <v>74</v>
      </c>
      <c r="C458" s="636">
        <v>23</v>
      </c>
      <c r="D458" s="636">
        <v>41</v>
      </c>
      <c r="E458" s="636">
        <v>0</v>
      </c>
      <c r="F458" s="636">
        <v>13</v>
      </c>
    </row>
    <row r="459" spans="1:6" ht="12.75">
      <c r="A459" s="637" t="s">
        <v>792</v>
      </c>
      <c r="B459" s="638">
        <v>348</v>
      </c>
      <c r="C459" s="638">
        <v>99</v>
      </c>
      <c r="D459" s="638">
        <v>156</v>
      </c>
      <c r="E459" s="638">
        <v>4</v>
      </c>
      <c r="F459" s="638">
        <v>46</v>
      </c>
    </row>
    <row r="460" spans="1:6" ht="12.75">
      <c r="A460" s="631" t="s">
        <v>793</v>
      </c>
      <c r="B460" s="636">
        <v>539</v>
      </c>
      <c r="C460" s="636">
        <v>74</v>
      </c>
      <c r="D460" s="636">
        <v>105</v>
      </c>
      <c r="E460" s="636">
        <v>0</v>
      </c>
      <c r="F460" s="636">
        <v>23</v>
      </c>
    </row>
    <row r="461" spans="1:6" ht="12.75">
      <c r="A461" s="637" t="s">
        <v>794</v>
      </c>
      <c r="B461" s="638">
        <v>744</v>
      </c>
      <c r="C461" s="638">
        <v>129</v>
      </c>
      <c r="D461" s="638">
        <v>316</v>
      </c>
      <c r="E461" s="638">
        <v>25</v>
      </c>
      <c r="F461" s="638">
        <v>99</v>
      </c>
    </row>
    <row r="462" spans="1:6" ht="12.75">
      <c r="A462" s="631" t="s">
        <v>795</v>
      </c>
      <c r="B462" s="636">
        <v>207</v>
      </c>
      <c r="C462" s="636">
        <v>36</v>
      </c>
      <c r="D462" s="636">
        <v>59</v>
      </c>
      <c r="E462" s="636">
        <v>0</v>
      </c>
      <c r="F462" s="636">
        <v>7</v>
      </c>
    </row>
    <row r="463" spans="1:6" ht="12.75">
      <c r="A463" s="637" t="s">
        <v>796</v>
      </c>
      <c r="B463" s="638">
        <v>479</v>
      </c>
      <c r="C463" s="638">
        <v>59</v>
      </c>
      <c r="D463" s="638">
        <v>108</v>
      </c>
      <c r="E463" s="638">
        <v>7</v>
      </c>
      <c r="F463" s="638">
        <v>38</v>
      </c>
    </row>
    <row r="464" spans="1:6" ht="12.75">
      <c r="A464" s="631" t="s">
        <v>797</v>
      </c>
      <c r="B464" s="636">
        <v>6366</v>
      </c>
      <c r="C464" s="636">
        <v>1533</v>
      </c>
      <c r="D464" s="636">
        <v>952</v>
      </c>
      <c r="E464" s="636">
        <v>29</v>
      </c>
      <c r="F464" s="636">
        <v>177</v>
      </c>
    </row>
    <row r="465" spans="1:6" ht="12.75">
      <c r="A465" s="637" t="s">
        <v>798</v>
      </c>
      <c r="B465" s="638">
        <v>356</v>
      </c>
      <c r="C465" s="638">
        <v>69</v>
      </c>
      <c r="D465" s="638">
        <v>182</v>
      </c>
      <c r="E465" s="638">
        <v>5</v>
      </c>
      <c r="F465" s="638">
        <v>58</v>
      </c>
    </row>
    <row r="466" spans="1:6" ht="12.75">
      <c r="A466" s="631" t="s">
        <v>799</v>
      </c>
      <c r="B466" s="636">
        <v>107</v>
      </c>
      <c r="C466" s="636">
        <v>16</v>
      </c>
      <c r="D466" s="636">
        <v>49</v>
      </c>
      <c r="E466" s="636">
        <v>2</v>
      </c>
      <c r="F466" s="636">
        <v>7</v>
      </c>
    </row>
    <row r="467" spans="1:6" ht="12.75">
      <c r="A467" s="637" t="s">
        <v>1231</v>
      </c>
      <c r="B467" s="638">
        <v>923</v>
      </c>
      <c r="C467" s="638">
        <v>131</v>
      </c>
      <c r="D467" s="638">
        <v>215</v>
      </c>
      <c r="E467" s="638">
        <v>0</v>
      </c>
      <c r="F467" s="638">
        <v>46</v>
      </c>
    </row>
    <row r="468" spans="1:6" ht="12.75">
      <c r="A468" s="631" t="s">
        <v>800</v>
      </c>
      <c r="B468" s="636">
        <v>4458</v>
      </c>
      <c r="C468" s="636">
        <v>665</v>
      </c>
      <c r="D468" s="636">
        <v>1054</v>
      </c>
      <c r="E468" s="636">
        <v>67</v>
      </c>
      <c r="F468" s="636">
        <v>241</v>
      </c>
    </row>
    <row r="469" spans="1:6" ht="12.75">
      <c r="A469" s="637" t="s">
        <v>801</v>
      </c>
      <c r="B469" s="638">
        <v>286</v>
      </c>
      <c r="C469" s="638">
        <v>43</v>
      </c>
      <c r="D469" s="638">
        <v>163</v>
      </c>
      <c r="E469" s="638">
        <v>9</v>
      </c>
      <c r="F469" s="638">
        <v>40</v>
      </c>
    </row>
    <row r="470" spans="1:6" ht="12.75">
      <c r="A470" s="631" t="s">
        <v>802</v>
      </c>
      <c r="B470" s="636">
        <v>122</v>
      </c>
      <c r="C470" s="636">
        <v>30</v>
      </c>
      <c r="D470" s="636">
        <v>49</v>
      </c>
      <c r="E470" s="636">
        <v>1</v>
      </c>
      <c r="F470" s="636">
        <v>8</v>
      </c>
    </row>
    <row r="471" spans="1:6" ht="12.75">
      <c r="A471" s="637" t="s">
        <v>803</v>
      </c>
      <c r="B471" s="638">
        <v>73</v>
      </c>
      <c r="C471" s="638">
        <v>7</v>
      </c>
      <c r="D471" s="638">
        <v>17</v>
      </c>
      <c r="E471" s="638">
        <v>0</v>
      </c>
      <c r="F471" s="638">
        <v>2</v>
      </c>
    </row>
    <row r="472" spans="1:6" ht="12.75">
      <c r="A472" s="631" t="s">
        <v>804</v>
      </c>
      <c r="B472" s="636">
        <v>8396</v>
      </c>
      <c r="C472" s="636">
        <v>1336</v>
      </c>
      <c r="D472" s="636">
        <v>1495</v>
      </c>
      <c r="E472" s="636">
        <v>133</v>
      </c>
      <c r="F472" s="636">
        <v>395</v>
      </c>
    </row>
    <row r="473" spans="1:6" ht="12.75">
      <c r="A473" s="637" t="s">
        <v>784</v>
      </c>
      <c r="B473" s="638">
        <v>94</v>
      </c>
      <c r="C473" s="638">
        <v>19</v>
      </c>
      <c r="D473" s="638">
        <v>36</v>
      </c>
      <c r="E473" s="638">
        <v>0</v>
      </c>
      <c r="F473" s="638">
        <v>4</v>
      </c>
    </row>
    <row r="474" spans="1:6" ht="12.75">
      <c r="A474" s="631" t="s">
        <v>785</v>
      </c>
      <c r="B474" s="636">
        <v>1217</v>
      </c>
      <c r="C474" s="636">
        <v>418</v>
      </c>
      <c r="D474" s="636">
        <v>423</v>
      </c>
      <c r="E474" s="636">
        <v>2</v>
      </c>
      <c r="F474" s="636">
        <v>33</v>
      </c>
    </row>
    <row r="475" spans="1:6" ht="12.75">
      <c r="A475" s="637" t="s">
        <v>786</v>
      </c>
      <c r="B475" s="638">
        <v>6880</v>
      </c>
      <c r="C475" s="638">
        <v>1119</v>
      </c>
      <c r="D475" s="638">
        <v>1781</v>
      </c>
      <c r="E475" s="638">
        <v>28</v>
      </c>
      <c r="F475" s="638">
        <v>311</v>
      </c>
    </row>
    <row r="476" spans="1:6" ht="12.75">
      <c r="A476" s="631" t="s">
        <v>805</v>
      </c>
      <c r="B476" s="636">
        <v>202</v>
      </c>
      <c r="C476" s="636">
        <v>52</v>
      </c>
      <c r="D476" s="636">
        <v>155</v>
      </c>
      <c r="E476" s="636">
        <v>5</v>
      </c>
      <c r="F476" s="636">
        <v>39</v>
      </c>
    </row>
    <row r="477" spans="1:6" ht="12.75">
      <c r="A477" s="637" t="s">
        <v>806</v>
      </c>
      <c r="B477" s="638">
        <v>3083</v>
      </c>
      <c r="C477" s="638">
        <v>529</v>
      </c>
      <c r="D477" s="638">
        <v>871</v>
      </c>
      <c r="E477" s="638">
        <v>27</v>
      </c>
      <c r="F477" s="638">
        <v>161</v>
      </c>
    </row>
    <row r="478" spans="1:6" ht="12.75">
      <c r="A478" s="631" t="s">
        <v>807</v>
      </c>
      <c r="B478" s="636">
        <v>1726</v>
      </c>
      <c r="C478" s="636">
        <v>299</v>
      </c>
      <c r="D478" s="636">
        <v>454</v>
      </c>
      <c r="E478" s="636">
        <v>27</v>
      </c>
      <c r="F478" s="636">
        <v>121</v>
      </c>
    </row>
    <row r="479" spans="1:6" ht="12.75">
      <c r="A479" s="637" t="s">
        <v>1232</v>
      </c>
      <c r="B479" s="638">
        <v>2216</v>
      </c>
      <c r="C479" s="638">
        <v>371</v>
      </c>
      <c r="D479" s="638">
        <v>632</v>
      </c>
      <c r="E479" s="638">
        <v>27</v>
      </c>
      <c r="F479" s="638">
        <v>92</v>
      </c>
    </row>
    <row r="480" spans="1:6" ht="12.75">
      <c r="A480" s="631" t="s">
        <v>1233</v>
      </c>
      <c r="B480" s="636">
        <v>98</v>
      </c>
      <c r="C480" s="636">
        <v>22</v>
      </c>
      <c r="D480" s="636">
        <v>47</v>
      </c>
      <c r="E480" s="636">
        <v>0</v>
      </c>
      <c r="F480" s="636">
        <v>7</v>
      </c>
    </row>
    <row r="481" spans="1:6" ht="12.75">
      <c r="A481" s="637" t="s">
        <v>808</v>
      </c>
      <c r="B481" s="638">
        <v>330</v>
      </c>
      <c r="C481" s="638">
        <v>86</v>
      </c>
      <c r="D481" s="638">
        <v>135</v>
      </c>
      <c r="E481" s="638">
        <v>2</v>
      </c>
      <c r="F481" s="638">
        <v>30</v>
      </c>
    </row>
    <row r="482" spans="1:6" ht="12.75">
      <c r="A482" s="631" t="s">
        <v>809</v>
      </c>
      <c r="B482" s="636">
        <v>97</v>
      </c>
      <c r="C482" s="636">
        <v>50</v>
      </c>
      <c r="D482" s="636">
        <v>52</v>
      </c>
      <c r="E482" s="636">
        <v>0</v>
      </c>
      <c r="F482" s="636">
        <v>15</v>
      </c>
    </row>
    <row r="483" spans="1:6" ht="12.75">
      <c r="A483" s="637" t="s">
        <v>810</v>
      </c>
      <c r="B483" s="638">
        <v>73</v>
      </c>
      <c r="C483" s="638">
        <v>6</v>
      </c>
      <c r="D483" s="638">
        <v>21</v>
      </c>
      <c r="E483" s="638">
        <v>1</v>
      </c>
      <c r="F483" s="638">
        <v>2</v>
      </c>
    </row>
    <row r="484" spans="1:6" ht="12.75">
      <c r="A484" s="631" t="s">
        <v>811</v>
      </c>
      <c r="B484" s="636">
        <v>932</v>
      </c>
      <c r="C484" s="636">
        <v>220</v>
      </c>
      <c r="D484" s="636">
        <v>458</v>
      </c>
      <c r="E484" s="636">
        <v>0</v>
      </c>
      <c r="F484" s="636">
        <v>126</v>
      </c>
    </row>
    <row r="485" spans="1:6" ht="12.75">
      <c r="A485" s="637" t="s">
        <v>812</v>
      </c>
      <c r="B485" s="638">
        <v>3496</v>
      </c>
      <c r="C485" s="638">
        <v>681</v>
      </c>
      <c r="D485" s="638">
        <v>733</v>
      </c>
      <c r="E485" s="638">
        <v>11</v>
      </c>
      <c r="F485" s="638">
        <v>206</v>
      </c>
    </row>
    <row r="486" spans="1:6" ht="12.75">
      <c r="A486" s="631" t="s">
        <v>813</v>
      </c>
      <c r="B486" s="636">
        <v>3330</v>
      </c>
      <c r="C486" s="636">
        <v>418</v>
      </c>
      <c r="D486" s="636">
        <v>900</v>
      </c>
      <c r="E486" s="636">
        <v>12</v>
      </c>
      <c r="F486" s="636">
        <v>241</v>
      </c>
    </row>
    <row r="487" spans="1:6" ht="12.75">
      <c r="A487" s="637" t="s">
        <v>814</v>
      </c>
      <c r="B487" s="638">
        <v>728</v>
      </c>
      <c r="C487" s="638">
        <v>117</v>
      </c>
      <c r="D487" s="638">
        <v>216</v>
      </c>
      <c r="E487" s="638">
        <v>2</v>
      </c>
      <c r="F487" s="638">
        <v>34</v>
      </c>
    </row>
    <row r="488" spans="1:6" ht="12.75">
      <c r="A488" s="631" t="s">
        <v>815</v>
      </c>
      <c r="B488" s="636">
        <v>179</v>
      </c>
      <c r="C488" s="636">
        <v>36</v>
      </c>
      <c r="D488" s="636">
        <v>107</v>
      </c>
      <c r="E488" s="636">
        <v>9</v>
      </c>
      <c r="F488" s="636">
        <v>67</v>
      </c>
    </row>
    <row r="489" spans="1:6" ht="12.75">
      <c r="A489" s="637" t="s">
        <v>1234</v>
      </c>
      <c r="B489" s="638">
        <v>91</v>
      </c>
      <c r="C489" s="638">
        <v>35</v>
      </c>
      <c r="D489" s="638">
        <v>48</v>
      </c>
      <c r="E489" s="638">
        <v>6</v>
      </c>
      <c r="F489" s="638">
        <v>15</v>
      </c>
    </row>
    <row r="490" spans="1:6" ht="12.75">
      <c r="A490" s="631" t="s">
        <v>1235</v>
      </c>
      <c r="B490" s="636">
        <v>302</v>
      </c>
      <c r="C490" s="636">
        <v>64</v>
      </c>
      <c r="D490" s="636">
        <v>106</v>
      </c>
      <c r="E490" s="636">
        <v>10</v>
      </c>
      <c r="F490" s="636">
        <v>52</v>
      </c>
    </row>
    <row r="491" spans="1:6" ht="12.75">
      <c r="A491" s="637" t="s">
        <v>816</v>
      </c>
      <c r="B491" s="638">
        <v>282</v>
      </c>
      <c r="C491" s="638">
        <v>67</v>
      </c>
      <c r="D491" s="638">
        <v>80</v>
      </c>
      <c r="E491" s="638">
        <v>0</v>
      </c>
      <c r="F491" s="638">
        <v>11</v>
      </c>
    </row>
    <row r="492" spans="1:6" ht="12.75">
      <c r="A492" s="631" t="s">
        <v>817</v>
      </c>
      <c r="B492" s="636">
        <v>162</v>
      </c>
      <c r="C492" s="636">
        <v>19</v>
      </c>
      <c r="D492" s="636">
        <v>119</v>
      </c>
      <c r="E492" s="636">
        <v>0</v>
      </c>
      <c r="F492" s="636">
        <v>20</v>
      </c>
    </row>
    <row r="493" spans="1:6" ht="12.75">
      <c r="A493" s="637" t="s">
        <v>818</v>
      </c>
      <c r="B493" s="638">
        <v>2147</v>
      </c>
      <c r="C493" s="638">
        <v>481</v>
      </c>
      <c r="D493" s="638">
        <v>671</v>
      </c>
      <c r="E493" s="638">
        <v>15</v>
      </c>
      <c r="F493" s="638">
        <v>168</v>
      </c>
    </row>
    <row r="494" spans="1:6" ht="12.75">
      <c r="A494" s="631" t="s">
        <v>819</v>
      </c>
      <c r="B494" s="636">
        <v>129</v>
      </c>
      <c r="C494" s="636">
        <v>32</v>
      </c>
      <c r="D494" s="636">
        <v>90</v>
      </c>
      <c r="E494" s="636">
        <v>3</v>
      </c>
      <c r="F494" s="636">
        <v>19</v>
      </c>
    </row>
    <row r="495" spans="1:6" ht="12.75">
      <c r="A495" s="637" t="s">
        <v>820</v>
      </c>
      <c r="B495" s="638">
        <v>2444</v>
      </c>
      <c r="C495" s="638">
        <v>466</v>
      </c>
      <c r="D495" s="638">
        <v>1034</v>
      </c>
      <c r="E495" s="638">
        <v>34</v>
      </c>
      <c r="F495" s="638">
        <v>254</v>
      </c>
    </row>
    <row r="496" spans="1:6" ht="12.75">
      <c r="A496" s="631" t="s">
        <v>821</v>
      </c>
      <c r="B496" s="636">
        <v>1052</v>
      </c>
      <c r="C496" s="636">
        <v>216</v>
      </c>
      <c r="D496" s="636">
        <v>275</v>
      </c>
      <c r="E496" s="636">
        <v>20</v>
      </c>
      <c r="F496" s="636">
        <v>89</v>
      </c>
    </row>
    <row r="497" spans="1:6" ht="12.75">
      <c r="A497" s="637" t="s">
        <v>822</v>
      </c>
      <c r="B497" s="638">
        <v>11167</v>
      </c>
      <c r="C497" s="638">
        <v>1538</v>
      </c>
      <c r="D497" s="638">
        <v>1825</v>
      </c>
      <c r="E497" s="638">
        <v>57</v>
      </c>
      <c r="F497" s="638">
        <v>386</v>
      </c>
    </row>
    <row r="498" spans="1:6" ht="12.75">
      <c r="A498" s="631" t="s">
        <v>823</v>
      </c>
      <c r="B498" s="636">
        <v>1020</v>
      </c>
      <c r="C498" s="636">
        <v>167</v>
      </c>
      <c r="D498" s="636">
        <v>335</v>
      </c>
      <c r="E498" s="636">
        <v>22</v>
      </c>
      <c r="F498" s="636">
        <v>115</v>
      </c>
    </row>
    <row r="499" spans="1:6" ht="12.75">
      <c r="A499" s="637" t="s">
        <v>824</v>
      </c>
      <c r="B499" s="638">
        <v>148</v>
      </c>
      <c r="C499" s="638">
        <v>19</v>
      </c>
      <c r="D499" s="638">
        <v>45</v>
      </c>
      <c r="E499" s="638">
        <v>12</v>
      </c>
      <c r="F499" s="638">
        <v>22</v>
      </c>
    </row>
    <row r="500" spans="1:6" ht="12.75">
      <c r="A500" s="631" t="s">
        <v>825</v>
      </c>
      <c r="B500" s="636">
        <v>603</v>
      </c>
      <c r="C500" s="636">
        <v>131</v>
      </c>
      <c r="D500" s="636">
        <v>219</v>
      </c>
      <c r="E500" s="636">
        <v>25</v>
      </c>
      <c r="F500" s="636">
        <v>93</v>
      </c>
    </row>
    <row r="501" spans="1:6" ht="12.75">
      <c r="A501" s="637" t="s">
        <v>826</v>
      </c>
      <c r="B501" s="638">
        <v>2081</v>
      </c>
      <c r="C501" s="638">
        <v>539</v>
      </c>
      <c r="D501" s="638">
        <v>445</v>
      </c>
      <c r="E501" s="638">
        <v>8</v>
      </c>
      <c r="F501" s="638">
        <v>94</v>
      </c>
    </row>
    <row r="502" spans="1:6" ht="12.75">
      <c r="A502" s="631" t="s">
        <v>827</v>
      </c>
      <c r="B502" s="636">
        <v>782</v>
      </c>
      <c r="C502" s="636">
        <v>136</v>
      </c>
      <c r="D502" s="636">
        <v>256</v>
      </c>
      <c r="E502" s="636">
        <v>8</v>
      </c>
      <c r="F502" s="636">
        <v>50</v>
      </c>
    </row>
    <row r="503" spans="1:6" ht="12.75">
      <c r="A503" s="637" t="s">
        <v>828</v>
      </c>
      <c r="B503" s="638">
        <v>17653</v>
      </c>
      <c r="C503" s="638">
        <v>3005</v>
      </c>
      <c r="D503" s="638">
        <v>4066</v>
      </c>
      <c r="E503" s="638">
        <v>104</v>
      </c>
      <c r="F503" s="638">
        <v>629</v>
      </c>
    </row>
    <row r="504" spans="1:6" ht="12.75">
      <c r="A504" s="631" t="s">
        <v>1236</v>
      </c>
      <c r="B504" s="636">
        <v>150</v>
      </c>
      <c r="C504" s="636">
        <v>22</v>
      </c>
      <c r="D504" s="636">
        <v>40</v>
      </c>
      <c r="E504" s="636">
        <v>0</v>
      </c>
      <c r="F504" s="636">
        <v>12</v>
      </c>
    </row>
    <row r="505" spans="1:6" ht="12.75">
      <c r="A505" s="637" t="s">
        <v>829</v>
      </c>
      <c r="B505" s="638">
        <v>578</v>
      </c>
      <c r="C505" s="638">
        <v>136</v>
      </c>
      <c r="D505" s="638">
        <v>354</v>
      </c>
      <c r="E505" s="638">
        <v>21</v>
      </c>
      <c r="F505" s="638">
        <v>101</v>
      </c>
    </row>
    <row r="506" spans="1:6" ht="12.75">
      <c r="A506" s="631" t="s">
        <v>1237</v>
      </c>
      <c r="B506" s="636">
        <v>158</v>
      </c>
      <c r="C506" s="636">
        <v>17</v>
      </c>
      <c r="D506" s="636">
        <v>45</v>
      </c>
      <c r="E506" s="636">
        <v>3</v>
      </c>
      <c r="F506" s="636">
        <v>13</v>
      </c>
    </row>
    <row r="507" spans="1:6" ht="12.75">
      <c r="A507" s="637" t="s">
        <v>1238</v>
      </c>
      <c r="B507" s="638">
        <v>113</v>
      </c>
      <c r="C507" s="638">
        <v>25</v>
      </c>
      <c r="D507" s="638">
        <v>43</v>
      </c>
      <c r="E507" s="638">
        <v>1</v>
      </c>
      <c r="F507" s="638">
        <v>9</v>
      </c>
    </row>
    <row r="508" spans="1:6" ht="12.75">
      <c r="A508" s="631" t="s">
        <v>830</v>
      </c>
      <c r="B508" s="636">
        <v>256</v>
      </c>
      <c r="C508" s="636">
        <v>61</v>
      </c>
      <c r="D508" s="636">
        <v>77</v>
      </c>
      <c r="E508" s="636">
        <v>1</v>
      </c>
      <c r="F508" s="636">
        <v>11</v>
      </c>
    </row>
    <row r="509" spans="1:6" ht="12.75">
      <c r="A509" s="637" t="s">
        <v>831</v>
      </c>
      <c r="B509" s="638">
        <v>496</v>
      </c>
      <c r="C509" s="638">
        <v>77</v>
      </c>
      <c r="D509" s="638">
        <v>193</v>
      </c>
      <c r="E509" s="638">
        <v>4</v>
      </c>
      <c r="F509" s="638">
        <v>56</v>
      </c>
    </row>
    <row r="510" spans="1:6" ht="12.75">
      <c r="A510" s="631" t="s">
        <v>832</v>
      </c>
      <c r="B510" s="636">
        <v>208</v>
      </c>
      <c r="C510" s="636">
        <v>31</v>
      </c>
      <c r="D510" s="636">
        <v>77</v>
      </c>
      <c r="E510" s="636">
        <v>2</v>
      </c>
      <c r="F510" s="636">
        <v>14</v>
      </c>
    </row>
    <row r="511" spans="1:6" ht="12.75">
      <c r="A511" s="637" t="s">
        <v>833</v>
      </c>
      <c r="B511" s="638">
        <v>363</v>
      </c>
      <c r="C511" s="638">
        <v>93</v>
      </c>
      <c r="D511" s="638">
        <v>157</v>
      </c>
      <c r="E511" s="638">
        <v>6</v>
      </c>
      <c r="F511" s="638">
        <v>30</v>
      </c>
    </row>
    <row r="512" spans="1:6" ht="12.75">
      <c r="A512" s="631" t="s">
        <v>834</v>
      </c>
      <c r="B512" s="636">
        <v>99</v>
      </c>
      <c r="C512" s="636">
        <v>20</v>
      </c>
      <c r="D512" s="636">
        <v>72</v>
      </c>
      <c r="E512" s="636">
        <v>0</v>
      </c>
      <c r="F512" s="636">
        <v>21</v>
      </c>
    </row>
    <row r="513" spans="1:6" ht="12.75">
      <c r="A513" s="637" t="s">
        <v>835</v>
      </c>
      <c r="B513" s="638">
        <v>421</v>
      </c>
      <c r="C513" s="638">
        <v>126</v>
      </c>
      <c r="D513" s="638">
        <v>131</v>
      </c>
      <c r="E513" s="638">
        <v>1</v>
      </c>
      <c r="F513" s="638">
        <v>33</v>
      </c>
    </row>
    <row r="514" spans="1:6" ht="12.75">
      <c r="A514" s="631" t="s">
        <v>836</v>
      </c>
      <c r="B514" s="636">
        <v>597</v>
      </c>
      <c r="C514" s="636">
        <v>93</v>
      </c>
      <c r="D514" s="636">
        <v>199</v>
      </c>
      <c r="E514" s="636">
        <v>15</v>
      </c>
      <c r="F514" s="636">
        <v>62</v>
      </c>
    </row>
    <row r="515" spans="1:6" ht="12.75">
      <c r="A515" s="637" t="s">
        <v>837</v>
      </c>
      <c r="B515" s="638">
        <v>326</v>
      </c>
      <c r="C515" s="638">
        <v>43</v>
      </c>
      <c r="D515" s="638">
        <v>147</v>
      </c>
      <c r="E515" s="638">
        <v>0</v>
      </c>
      <c r="F515" s="638">
        <v>7</v>
      </c>
    </row>
    <row r="516" spans="1:6" ht="12.75">
      <c r="A516" s="631" t="s">
        <v>838</v>
      </c>
      <c r="B516" s="636">
        <v>172</v>
      </c>
      <c r="C516" s="636">
        <v>18</v>
      </c>
      <c r="D516" s="636">
        <v>43</v>
      </c>
      <c r="E516" s="636">
        <v>0</v>
      </c>
      <c r="F516" s="636">
        <v>16</v>
      </c>
    </row>
    <row r="517" spans="1:6" ht="12.75">
      <c r="A517" s="637" t="s">
        <v>839</v>
      </c>
      <c r="B517" s="638">
        <v>634</v>
      </c>
      <c r="C517" s="638">
        <v>181</v>
      </c>
      <c r="D517" s="638">
        <v>196</v>
      </c>
      <c r="E517" s="638">
        <v>5</v>
      </c>
      <c r="F517" s="638">
        <v>69</v>
      </c>
    </row>
    <row r="518" spans="1:6" ht="12.75">
      <c r="A518" s="631" t="s">
        <v>840</v>
      </c>
      <c r="B518" s="636">
        <v>5208</v>
      </c>
      <c r="C518" s="636">
        <v>1409</v>
      </c>
      <c r="D518" s="636">
        <v>1436</v>
      </c>
      <c r="E518" s="636">
        <v>27</v>
      </c>
      <c r="F518" s="636">
        <v>218</v>
      </c>
    </row>
    <row r="519" spans="1:6" ht="12.75">
      <c r="A519" s="637" t="s">
        <v>841</v>
      </c>
      <c r="B519" s="638">
        <v>12208</v>
      </c>
      <c r="C519" s="638">
        <v>3199</v>
      </c>
      <c r="D519" s="638">
        <v>3133</v>
      </c>
      <c r="E519" s="638">
        <v>24</v>
      </c>
      <c r="F519" s="638">
        <v>295</v>
      </c>
    </row>
    <row r="520" spans="1:6" ht="12.75">
      <c r="A520" s="631" t="s">
        <v>842</v>
      </c>
      <c r="B520" s="636">
        <v>10354</v>
      </c>
      <c r="C520" s="636">
        <v>2485</v>
      </c>
      <c r="D520" s="636">
        <v>2329</v>
      </c>
      <c r="E520" s="636">
        <v>28</v>
      </c>
      <c r="F520" s="636">
        <v>258</v>
      </c>
    </row>
    <row r="521" spans="1:6" ht="12.75">
      <c r="A521" s="637" t="s">
        <v>1239</v>
      </c>
      <c r="B521" s="638">
        <v>1342</v>
      </c>
      <c r="C521" s="638">
        <v>207</v>
      </c>
      <c r="D521" s="638">
        <v>365</v>
      </c>
      <c r="E521" s="638">
        <v>21</v>
      </c>
      <c r="F521" s="638">
        <v>83</v>
      </c>
    </row>
    <row r="522" spans="1:6" ht="12.75">
      <c r="A522" s="631" t="s">
        <v>843</v>
      </c>
      <c r="B522" s="636">
        <v>90</v>
      </c>
      <c r="C522" s="636">
        <v>17</v>
      </c>
      <c r="D522" s="636">
        <v>44</v>
      </c>
      <c r="E522" s="636">
        <v>0</v>
      </c>
      <c r="F522" s="636">
        <v>6</v>
      </c>
    </row>
    <row r="523" spans="1:6" ht="12.75">
      <c r="A523" s="637" t="s">
        <v>844</v>
      </c>
      <c r="B523" s="638">
        <v>218</v>
      </c>
      <c r="C523" s="638">
        <v>59</v>
      </c>
      <c r="D523" s="638">
        <v>94</v>
      </c>
      <c r="E523" s="638">
        <v>0</v>
      </c>
      <c r="F523" s="638">
        <v>11</v>
      </c>
    </row>
    <row r="524" spans="1:6" ht="12.75">
      <c r="A524" s="631" t="s">
        <v>845</v>
      </c>
      <c r="B524" s="636">
        <v>789</v>
      </c>
      <c r="C524" s="636">
        <v>171</v>
      </c>
      <c r="D524" s="636">
        <v>235</v>
      </c>
      <c r="E524" s="636">
        <v>0</v>
      </c>
      <c r="F524" s="636">
        <v>32</v>
      </c>
    </row>
    <row r="525" spans="1:6" ht="12.75">
      <c r="A525" s="637" t="s">
        <v>846</v>
      </c>
      <c r="B525" s="638">
        <v>8644</v>
      </c>
      <c r="C525" s="638">
        <v>1881</v>
      </c>
      <c r="D525" s="638">
        <v>1981</v>
      </c>
      <c r="E525" s="638">
        <v>150</v>
      </c>
      <c r="F525" s="638">
        <v>496</v>
      </c>
    </row>
    <row r="526" spans="1:6" ht="12.75">
      <c r="A526" s="631" t="s">
        <v>1240</v>
      </c>
      <c r="B526" s="636">
        <v>2671</v>
      </c>
      <c r="C526" s="636">
        <v>689</v>
      </c>
      <c r="D526" s="636">
        <v>361</v>
      </c>
      <c r="E526" s="636">
        <v>48</v>
      </c>
      <c r="F526" s="636">
        <v>132</v>
      </c>
    </row>
    <row r="527" spans="1:6" ht="12.75">
      <c r="A527" s="637" t="s">
        <v>847</v>
      </c>
      <c r="B527" s="638">
        <v>5633</v>
      </c>
      <c r="C527" s="638">
        <v>1251</v>
      </c>
      <c r="D527" s="638">
        <v>964</v>
      </c>
      <c r="E527" s="638">
        <v>30</v>
      </c>
      <c r="F527" s="638">
        <v>721</v>
      </c>
    </row>
    <row r="528" spans="1:6" ht="12.75">
      <c r="A528" s="631" t="s">
        <v>1241</v>
      </c>
      <c r="B528" s="636">
        <v>192</v>
      </c>
      <c r="C528" s="636">
        <v>35</v>
      </c>
      <c r="D528" s="636">
        <v>95</v>
      </c>
      <c r="E528" s="636">
        <v>0</v>
      </c>
      <c r="F528" s="636">
        <v>26</v>
      </c>
    </row>
    <row r="529" spans="1:6" ht="12.75">
      <c r="A529" s="637" t="s">
        <v>1242</v>
      </c>
      <c r="B529" s="638">
        <v>1434</v>
      </c>
      <c r="C529" s="638">
        <v>330</v>
      </c>
      <c r="D529" s="638">
        <v>306</v>
      </c>
      <c r="E529" s="638">
        <v>3</v>
      </c>
      <c r="F529" s="638">
        <v>49</v>
      </c>
    </row>
    <row r="530" spans="1:6" ht="12.75">
      <c r="A530" s="631" t="s">
        <v>848</v>
      </c>
      <c r="B530" s="636">
        <v>326</v>
      </c>
      <c r="C530" s="636">
        <v>57</v>
      </c>
      <c r="D530" s="636">
        <v>231</v>
      </c>
      <c r="E530" s="636">
        <v>29</v>
      </c>
      <c r="F530" s="636">
        <v>91</v>
      </c>
    </row>
    <row r="531" spans="1:6" ht="12.75">
      <c r="A531" s="637" t="s">
        <v>849</v>
      </c>
      <c r="B531" s="638">
        <v>1715</v>
      </c>
      <c r="C531" s="638">
        <v>375</v>
      </c>
      <c r="D531" s="638">
        <v>615</v>
      </c>
      <c r="E531" s="638">
        <v>16</v>
      </c>
      <c r="F531" s="638">
        <v>124</v>
      </c>
    </row>
    <row r="532" spans="1:6" ht="12.75">
      <c r="A532" s="631" t="s">
        <v>1243</v>
      </c>
      <c r="B532" s="636">
        <v>2226</v>
      </c>
      <c r="C532" s="636">
        <v>539</v>
      </c>
      <c r="D532" s="636">
        <v>726</v>
      </c>
      <c r="E532" s="636">
        <v>5</v>
      </c>
      <c r="F532" s="636">
        <v>99</v>
      </c>
    </row>
    <row r="533" spans="1:6" ht="12.75">
      <c r="A533" s="637" t="s">
        <v>850</v>
      </c>
      <c r="B533" s="638">
        <v>63</v>
      </c>
      <c r="C533" s="638">
        <v>20</v>
      </c>
      <c r="D533" s="638">
        <v>62</v>
      </c>
      <c r="E533" s="638">
        <v>0</v>
      </c>
      <c r="F533" s="638">
        <v>14</v>
      </c>
    </row>
    <row r="534" spans="1:6" ht="12.75">
      <c r="A534" s="631" t="s">
        <v>851</v>
      </c>
      <c r="B534" s="636">
        <v>10388</v>
      </c>
      <c r="C534" s="636">
        <v>1629</v>
      </c>
      <c r="D534" s="636">
        <v>1834</v>
      </c>
      <c r="E534" s="636">
        <v>169</v>
      </c>
      <c r="F534" s="636">
        <v>508</v>
      </c>
    </row>
    <row r="535" spans="1:6" ht="12.75">
      <c r="A535" s="637" t="s">
        <v>852</v>
      </c>
      <c r="B535" s="638">
        <v>283</v>
      </c>
      <c r="C535" s="638">
        <v>43</v>
      </c>
      <c r="D535" s="638">
        <v>83</v>
      </c>
      <c r="E535" s="638">
        <v>0</v>
      </c>
      <c r="F535" s="638">
        <v>8</v>
      </c>
    </row>
    <row r="536" spans="1:6" ht="12.75">
      <c r="A536" s="631" t="s">
        <v>853</v>
      </c>
      <c r="B536" s="636">
        <v>111</v>
      </c>
      <c r="C536" s="636">
        <v>14</v>
      </c>
      <c r="D536" s="636">
        <v>37</v>
      </c>
      <c r="E536" s="636">
        <v>0</v>
      </c>
      <c r="F536" s="636">
        <v>7</v>
      </c>
    </row>
    <row r="537" spans="1:6" ht="12.75">
      <c r="A537" s="637" t="s">
        <v>854</v>
      </c>
      <c r="B537" s="638">
        <v>372</v>
      </c>
      <c r="C537" s="638">
        <v>84</v>
      </c>
      <c r="D537" s="638">
        <v>116</v>
      </c>
      <c r="E537" s="638">
        <v>0</v>
      </c>
      <c r="F537" s="638">
        <v>16</v>
      </c>
    </row>
    <row r="538" spans="1:6" ht="12.75">
      <c r="A538" s="631" t="s">
        <v>855</v>
      </c>
      <c r="B538" s="636">
        <v>247</v>
      </c>
      <c r="C538" s="636">
        <v>45</v>
      </c>
      <c r="D538" s="636">
        <v>178</v>
      </c>
      <c r="E538" s="636">
        <v>0</v>
      </c>
      <c r="F538" s="636">
        <v>15</v>
      </c>
    </row>
    <row r="539" spans="1:6" ht="12.75">
      <c r="A539" s="637" t="s">
        <v>856</v>
      </c>
      <c r="B539" s="638">
        <v>142</v>
      </c>
      <c r="C539" s="638">
        <v>36</v>
      </c>
      <c r="D539" s="638">
        <v>63</v>
      </c>
      <c r="E539" s="638">
        <v>8</v>
      </c>
      <c r="F539" s="638">
        <v>15</v>
      </c>
    </row>
    <row r="540" spans="1:6" ht="12.75">
      <c r="A540" s="631" t="s">
        <v>857</v>
      </c>
      <c r="B540" s="636">
        <v>327</v>
      </c>
      <c r="C540" s="636">
        <v>52</v>
      </c>
      <c r="D540" s="636">
        <v>82</v>
      </c>
      <c r="E540" s="636">
        <v>0</v>
      </c>
      <c r="F540" s="636">
        <v>24</v>
      </c>
    </row>
    <row r="541" spans="1:6" ht="12.75">
      <c r="A541" s="637" t="s">
        <v>1244</v>
      </c>
      <c r="B541" s="638">
        <v>296</v>
      </c>
      <c r="C541" s="638">
        <v>44</v>
      </c>
      <c r="D541" s="638">
        <v>154</v>
      </c>
      <c r="E541" s="638">
        <v>3</v>
      </c>
      <c r="F541" s="638">
        <v>20</v>
      </c>
    </row>
    <row r="542" spans="1:6" ht="12.75">
      <c r="A542" s="631" t="s">
        <v>858</v>
      </c>
      <c r="B542" s="636">
        <v>237</v>
      </c>
      <c r="C542" s="636">
        <v>59</v>
      </c>
      <c r="D542" s="636">
        <v>143</v>
      </c>
      <c r="E542" s="636">
        <v>3</v>
      </c>
      <c r="F542" s="636">
        <v>18</v>
      </c>
    </row>
    <row r="543" spans="1:6" ht="12.75">
      <c r="A543" s="637" t="s">
        <v>859</v>
      </c>
      <c r="B543" s="638">
        <v>757</v>
      </c>
      <c r="C543" s="638">
        <v>199</v>
      </c>
      <c r="D543" s="638">
        <v>207</v>
      </c>
      <c r="E543" s="638">
        <v>8</v>
      </c>
      <c r="F543" s="638">
        <v>60</v>
      </c>
    </row>
    <row r="544" spans="1:6" ht="12.75">
      <c r="A544" s="631" t="s">
        <v>860</v>
      </c>
      <c r="B544" s="636">
        <v>1158</v>
      </c>
      <c r="C544" s="636">
        <v>270</v>
      </c>
      <c r="D544" s="636">
        <v>386</v>
      </c>
      <c r="E544" s="636">
        <v>5</v>
      </c>
      <c r="F544" s="636">
        <v>51</v>
      </c>
    </row>
    <row r="545" spans="1:6" ht="12.75">
      <c r="A545" s="637" t="s">
        <v>861</v>
      </c>
      <c r="B545" s="638">
        <v>250</v>
      </c>
      <c r="C545" s="638">
        <v>45</v>
      </c>
      <c r="D545" s="638">
        <v>85</v>
      </c>
      <c r="E545" s="638">
        <v>0</v>
      </c>
      <c r="F545" s="638">
        <v>22</v>
      </c>
    </row>
    <row r="546" spans="1:6" ht="12.75">
      <c r="A546" s="631" t="s">
        <v>1245</v>
      </c>
      <c r="B546" s="636">
        <v>1581</v>
      </c>
      <c r="C546" s="636">
        <v>291</v>
      </c>
      <c r="D546" s="636">
        <v>914</v>
      </c>
      <c r="E546" s="636">
        <v>28</v>
      </c>
      <c r="F546" s="636">
        <v>167</v>
      </c>
    </row>
    <row r="547" spans="1:6" ht="12.75">
      <c r="A547" s="637" t="s">
        <v>862</v>
      </c>
      <c r="B547" s="638">
        <v>8403</v>
      </c>
      <c r="C547" s="638">
        <v>1359</v>
      </c>
      <c r="D547" s="638">
        <v>1901</v>
      </c>
      <c r="E547" s="638">
        <v>50</v>
      </c>
      <c r="F547" s="638">
        <v>443</v>
      </c>
    </row>
    <row r="548" spans="1:6" ht="12.75">
      <c r="A548" s="631" t="s">
        <v>1246</v>
      </c>
      <c r="B548" s="636">
        <v>165</v>
      </c>
      <c r="C548" s="636">
        <v>24</v>
      </c>
      <c r="D548" s="636">
        <v>51</v>
      </c>
      <c r="E548" s="636">
        <v>0</v>
      </c>
      <c r="F548" s="636">
        <v>11</v>
      </c>
    </row>
    <row r="549" spans="1:6" ht="12.75">
      <c r="A549" s="637" t="s">
        <v>863</v>
      </c>
      <c r="B549" s="638">
        <v>12497</v>
      </c>
      <c r="C549" s="638">
        <v>2659</v>
      </c>
      <c r="D549" s="638">
        <v>2883</v>
      </c>
      <c r="E549" s="638">
        <v>62</v>
      </c>
      <c r="F549" s="638">
        <v>284</v>
      </c>
    </row>
    <row r="550" spans="1:6" ht="12.75">
      <c r="A550" s="631" t="s">
        <v>1247</v>
      </c>
      <c r="B550" s="636">
        <v>485</v>
      </c>
      <c r="C550" s="636">
        <v>80</v>
      </c>
      <c r="D550" s="636">
        <v>247</v>
      </c>
      <c r="E550" s="636">
        <v>5</v>
      </c>
      <c r="F550" s="636">
        <v>39</v>
      </c>
    </row>
    <row r="551" spans="1:6" ht="12.75">
      <c r="A551" s="637" t="s">
        <v>864</v>
      </c>
      <c r="B551" s="638">
        <v>140</v>
      </c>
      <c r="C551" s="638">
        <v>30</v>
      </c>
      <c r="D551" s="638">
        <v>62</v>
      </c>
      <c r="E551" s="638">
        <v>2</v>
      </c>
      <c r="F551" s="638">
        <v>19</v>
      </c>
    </row>
    <row r="552" spans="1:6" ht="12.75">
      <c r="A552" s="631" t="s">
        <v>865</v>
      </c>
      <c r="B552" s="636">
        <v>206</v>
      </c>
      <c r="C552" s="636">
        <v>32</v>
      </c>
      <c r="D552" s="636">
        <v>129</v>
      </c>
      <c r="E552" s="636">
        <v>7</v>
      </c>
      <c r="F552" s="636">
        <v>40</v>
      </c>
    </row>
    <row r="553" spans="1:6" ht="12.75">
      <c r="A553" s="637" t="s">
        <v>866</v>
      </c>
      <c r="B553" s="638">
        <v>298</v>
      </c>
      <c r="C553" s="638">
        <v>39</v>
      </c>
      <c r="D553" s="638">
        <v>81</v>
      </c>
      <c r="E553" s="638">
        <v>2</v>
      </c>
      <c r="F553" s="638">
        <v>19</v>
      </c>
    </row>
    <row r="554" spans="1:6" ht="12.75">
      <c r="A554" s="631" t="s">
        <v>1248</v>
      </c>
      <c r="B554" s="636">
        <v>1288</v>
      </c>
      <c r="C554" s="636">
        <v>172</v>
      </c>
      <c r="D554" s="636">
        <v>373</v>
      </c>
      <c r="E554" s="636">
        <v>6</v>
      </c>
      <c r="F554" s="636">
        <v>44</v>
      </c>
    </row>
    <row r="555" spans="1:6" ht="12.75">
      <c r="A555" s="637" t="s">
        <v>1249</v>
      </c>
      <c r="B555" s="638">
        <v>727</v>
      </c>
      <c r="C555" s="638">
        <v>137</v>
      </c>
      <c r="D555" s="638">
        <v>194</v>
      </c>
      <c r="E555" s="638">
        <v>0</v>
      </c>
      <c r="F555" s="638">
        <v>25</v>
      </c>
    </row>
    <row r="556" spans="1:6" ht="12.75">
      <c r="A556" s="631" t="s">
        <v>1250</v>
      </c>
      <c r="B556" s="636">
        <v>955</v>
      </c>
      <c r="C556" s="636">
        <v>172</v>
      </c>
      <c r="D556" s="636">
        <v>328</v>
      </c>
      <c r="E556" s="636">
        <v>6</v>
      </c>
      <c r="F556" s="636">
        <v>65</v>
      </c>
    </row>
    <row r="557" spans="1:6" ht="12.75">
      <c r="A557" s="637" t="s">
        <v>867</v>
      </c>
      <c r="B557" s="638">
        <v>159</v>
      </c>
      <c r="C557" s="638">
        <v>32</v>
      </c>
      <c r="D557" s="638">
        <v>79</v>
      </c>
      <c r="E557" s="638">
        <v>0</v>
      </c>
      <c r="F557" s="638">
        <v>14</v>
      </c>
    </row>
    <row r="558" spans="1:6" ht="12.75">
      <c r="A558" s="631" t="s">
        <v>1251</v>
      </c>
      <c r="B558" s="636">
        <v>513</v>
      </c>
      <c r="C558" s="636">
        <v>54</v>
      </c>
      <c r="D558" s="636">
        <v>254</v>
      </c>
      <c r="E558" s="636">
        <v>89</v>
      </c>
      <c r="F558" s="636">
        <v>104</v>
      </c>
    </row>
    <row r="559" spans="1:6" ht="12.75">
      <c r="A559" s="637" t="s">
        <v>1252</v>
      </c>
      <c r="B559" s="638">
        <v>413</v>
      </c>
      <c r="C559" s="638">
        <v>51</v>
      </c>
      <c r="D559" s="638">
        <v>124</v>
      </c>
      <c r="E559" s="638">
        <v>14</v>
      </c>
      <c r="F559" s="638">
        <v>51</v>
      </c>
    </row>
    <row r="560" spans="1:6" ht="12.75">
      <c r="A560" s="631" t="s">
        <v>1253</v>
      </c>
      <c r="B560" s="636">
        <v>140</v>
      </c>
      <c r="C560" s="636">
        <v>28</v>
      </c>
      <c r="D560" s="636">
        <v>47</v>
      </c>
      <c r="E560" s="636">
        <v>0</v>
      </c>
      <c r="F560" s="636">
        <v>8</v>
      </c>
    </row>
    <row r="561" spans="1:6" ht="12.75">
      <c r="A561" s="637" t="s">
        <v>1254</v>
      </c>
      <c r="B561" s="638">
        <v>1352</v>
      </c>
      <c r="C561" s="638">
        <v>248</v>
      </c>
      <c r="D561" s="638">
        <v>436</v>
      </c>
      <c r="E561" s="638">
        <v>43</v>
      </c>
      <c r="F561" s="638">
        <v>162</v>
      </c>
    </row>
    <row r="562" spans="1:6" ht="12.75">
      <c r="A562" s="631" t="s">
        <v>1255</v>
      </c>
      <c r="B562" s="636">
        <v>574</v>
      </c>
      <c r="C562" s="636">
        <v>66</v>
      </c>
      <c r="D562" s="636">
        <v>204</v>
      </c>
      <c r="E562" s="636">
        <v>1</v>
      </c>
      <c r="F562" s="636">
        <v>50</v>
      </c>
    </row>
    <row r="563" spans="1:6" ht="12.75">
      <c r="A563" s="637" t="s">
        <v>1256</v>
      </c>
      <c r="B563" s="638">
        <v>2063</v>
      </c>
      <c r="C563" s="638">
        <v>339</v>
      </c>
      <c r="D563" s="638">
        <v>463</v>
      </c>
      <c r="E563" s="638">
        <v>28</v>
      </c>
      <c r="F563" s="638">
        <v>117</v>
      </c>
    </row>
    <row r="564" spans="1:6" ht="12.75">
      <c r="A564" s="631" t="s">
        <v>1257</v>
      </c>
      <c r="B564" s="636">
        <v>182</v>
      </c>
      <c r="C564" s="636">
        <v>34</v>
      </c>
      <c r="D564" s="636">
        <v>102</v>
      </c>
      <c r="E564" s="636">
        <v>0</v>
      </c>
      <c r="F564" s="636">
        <v>25</v>
      </c>
    </row>
    <row r="565" spans="1:6" ht="12.75">
      <c r="A565" s="637" t="s">
        <v>1258</v>
      </c>
      <c r="B565" s="638">
        <v>1548</v>
      </c>
      <c r="C565" s="638">
        <v>297</v>
      </c>
      <c r="D565" s="638">
        <v>346</v>
      </c>
      <c r="E565" s="638">
        <v>7</v>
      </c>
      <c r="F565" s="638">
        <v>50</v>
      </c>
    </row>
    <row r="566" spans="1:6" ht="12.75">
      <c r="A566" s="631" t="s">
        <v>1259</v>
      </c>
      <c r="B566" s="636">
        <v>1385</v>
      </c>
      <c r="C566" s="636">
        <v>179</v>
      </c>
      <c r="D566" s="636">
        <v>554</v>
      </c>
      <c r="E566" s="636">
        <v>6</v>
      </c>
      <c r="F566" s="636">
        <v>100</v>
      </c>
    </row>
    <row r="567" spans="1:6" ht="12.75">
      <c r="A567" s="637" t="s">
        <v>868</v>
      </c>
      <c r="B567" s="638">
        <v>195</v>
      </c>
      <c r="C567" s="638">
        <v>48</v>
      </c>
      <c r="D567" s="638">
        <v>108</v>
      </c>
      <c r="E567" s="638">
        <v>0</v>
      </c>
      <c r="F567" s="638">
        <v>15</v>
      </c>
    </row>
    <row r="568" spans="1:6" ht="12.75">
      <c r="A568" s="631" t="s">
        <v>869</v>
      </c>
      <c r="B568" s="636">
        <v>4797</v>
      </c>
      <c r="C568" s="636">
        <v>783</v>
      </c>
      <c r="D568" s="636">
        <v>1239</v>
      </c>
      <c r="E568" s="636">
        <v>73</v>
      </c>
      <c r="F568" s="636">
        <v>303</v>
      </c>
    </row>
    <row r="569" spans="1:6" ht="12.75">
      <c r="A569" s="637" t="s">
        <v>1260</v>
      </c>
      <c r="B569" s="638">
        <v>321</v>
      </c>
      <c r="C569" s="638">
        <v>66</v>
      </c>
      <c r="D569" s="638">
        <v>109</v>
      </c>
      <c r="E569" s="638">
        <v>0</v>
      </c>
      <c r="F569" s="638">
        <v>15</v>
      </c>
    </row>
    <row r="570" spans="1:6" ht="12.75">
      <c r="A570" s="631" t="s">
        <v>1261</v>
      </c>
      <c r="B570" s="636">
        <v>111</v>
      </c>
      <c r="C570" s="636">
        <v>25</v>
      </c>
      <c r="D570" s="636">
        <v>49</v>
      </c>
      <c r="E570" s="636">
        <v>0</v>
      </c>
      <c r="F570" s="636">
        <v>11</v>
      </c>
    </row>
    <row r="571" spans="1:6" ht="12.75">
      <c r="A571" s="637" t="s">
        <v>870</v>
      </c>
      <c r="B571" s="638">
        <v>406</v>
      </c>
      <c r="C571" s="638">
        <v>83</v>
      </c>
      <c r="D571" s="638">
        <v>153</v>
      </c>
      <c r="E571" s="638">
        <v>213</v>
      </c>
      <c r="F571" s="638">
        <v>475</v>
      </c>
    </row>
    <row r="572" spans="1:6" ht="12.75">
      <c r="A572" s="631" t="s">
        <v>1262</v>
      </c>
      <c r="B572" s="636">
        <v>1084</v>
      </c>
      <c r="C572" s="636">
        <v>119</v>
      </c>
      <c r="D572" s="636">
        <v>465</v>
      </c>
      <c r="E572" s="636">
        <v>37</v>
      </c>
      <c r="F572" s="636">
        <v>145</v>
      </c>
    </row>
    <row r="573" spans="1:6" ht="12.75">
      <c r="A573" s="637" t="s">
        <v>1263</v>
      </c>
      <c r="B573" s="638">
        <v>2038</v>
      </c>
      <c r="C573" s="638">
        <v>350</v>
      </c>
      <c r="D573" s="638">
        <v>390</v>
      </c>
      <c r="E573" s="638">
        <v>21</v>
      </c>
      <c r="F573" s="638">
        <v>125</v>
      </c>
    </row>
    <row r="574" spans="1:6" ht="12.75">
      <c r="A574" s="631" t="s">
        <v>871</v>
      </c>
      <c r="B574" s="636">
        <v>78</v>
      </c>
      <c r="C574" s="636">
        <v>6</v>
      </c>
      <c r="D574" s="636">
        <v>38</v>
      </c>
      <c r="E574" s="636">
        <v>0</v>
      </c>
      <c r="F574" s="636">
        <v>13</v>
      </c>
    </row>
    <row r="575" spans="1:6" ht="12.75">
      <c r="A575" s="637" t="s">
        <v>872</v>
      </c>
      <c r="B575" s="638">
        <v>329</v>
      </c>
      <c r="C575" s="638">
        <v>81</v>
      </c>
      <c r="D575" s="638">
        <v>126</v>
      </c>
      <c r="E575" s="638">
        <v>1</v>
      </c>
      <c r="F575" s="638">
        <v>17</v>
      </c>
    </row>
    <row r="576" spans="1:6" ht="12.75">
      <c r="A576" s="631" t="s">
        <v>873</v>
      </c>
      <c r="B576" s="636">
        <v>215</v>
      </c>
      <c r="C576" s="636">
        <v>45</v>
      </c>
      <c r="D576" s="636">
        <v>64</v>
      </c>
      <c r="E576" s="636">
        <v>0</v>
      </c>
      <c r="F576" s="636">
        <v>6</v>
      </c>
    </row>
    <row r="577" spans="1:6" ht="12.75">
      <c r="A577" s="637" t="s">
        <v>874</v>
      </c>
      <c r="B577" s="638">
        <v>1437</v>
      </c>
      <c r="C577" s="638">
        <v>183</v>
      </c>
      <c r="D577" s="638">
        <v>479</v>
      </c>
      <c r="E577" s="638">
        <v>134</v>
      </c>
      <c r="F577" s="638">
        <v>262</v>
      </c>
    </row>
    <row r="578" spans="1:6" ht="12.75">
      <c r="A578" s="631" t="s">
        <v>875</v>
      </c>
      <c r="B578" s="636">
        <v>2562</v>
      </c>
      <c r="C578" s="636">
        <v>555</v>
      </c>
      <c r="D578" s="636">
        <v>728</v>
      </c>
      <c r="E578" s="636">
        <v>26</v>
      </c>
      <c r="F578" s="636">
        <v>135</v>
      </c>
    </row>
    <row r="579" spans="1:6" ht="12.75">
      <c r="A579" s="637" t="s">
        <v>876</v>
      </c>
      <c r="B579" s="638">
        <v>257</v>
      </c>
      <c r="C579" s="638">
        <v>66</v>
      </c>
      <c r="D579" s="638">
        <v>136</v>
      </c>
      <c r="E579" s="638">
        <v>3</v>
      </c>
      <c r="F579" s="638">
        <v>21</v>
      </c>
    </row>
    <row r="580" spans="1:6" ht="12.75">
      <c r="A580" s="631" t="s">
        <v>1264</v>
      </c>
      <c r="B580" s="636">
        <v>515</v>
      </c>
      <c r="C580" s="636">
        <v>253</v>
      </c>
      <c r="D580" s="636">
        <v>173</v>
      </c>
      <c r="E580" s="636">
        <v>0</v>
      </c>
      <c r="F580" s="636">
        <v>29</v>
      </c>
    </row>
    <row r="581" spans="1:6" ht="12.75">
      <c r="A581" s="637" t="s">
        <v>877</v>
      </c>
      <c r="B581" s="638">
        <v>623</v>
      </c>
      <c r="C581" s="638">
        <v>104</v>
      </c>
      <c r="D581" s="638">
        <v>144</v>
      </c>
      <c r="E581" s="638">
        <v>3</v>
      </c>
      <c r="F581" s="638">
        <v>15</v>
      </c>
    </row>
    <row r="582" spans="1:6" ht="12.75">
      <c r="A582" s="631" t="s">
        <v>1265</v>
      </c>
      <c r="B582" s="636">
        <v>464</v>
      </c>
      <c r="C582" s="636">
        <v>57</v>
      </c>
      <c r="D582" s="636">
        <v>122</v>
      </c>
      <c r="E582" s="636">
        <v>11</v>
      </c>
      <c r="F582" s="636">
        <v>39</v>
      </c>
    </row>
    <row r="583" spans="1:6" ht="12.75">
      <c r="A583" s="637" t="s">
        <v>878</v>
      </c>
      <c r="B583" s="638">
        <v>110</v>
      </c>
      <c r="C583" s="638">
        <v>20</v>
      </c>
      <c r="D583" s="638">
        <v>45</v>
      </c>
      <c r="E583" s="638">
        <v>0</v>
      </c>
      <c r="F583" s="638">
        <v>4</v>
      </c>
    </row>
    <row r="584" spans="1:6" ht="12.75">
      <c r="A584" s="631" t="s">
        <v>879</v>
      </c>
      <c r="B584" s="636">
        <v>306</v>
      </c>
      <c r="C584" s="636">
        <v>68</v>
      </c>
      <c r="D584" s="636">
        <v>143</v>
      </c>
      <c r="E584" s="636">
        <v>5</v>
      </c>
      <c r="F584" s="636">
        <v>28</v>
      </c>
    </row>
    <row r="585" spans="1:6" ht="12.75">
      <c r="A585" s="637" t="s">
        <v>880</v>
      </c>
      <c r="B585" s="638">
        <v>83</v>
      </c>
      <c r="C585" s="638">
        <v>9</v>
      </c>
      <c r="D585" s="638">
        <v>33</v>
      </c>
      <c r="E585" s="638">
        <v>0</v>
      </c>
      <c r="F585" s="638">
        <v>5</v>
      </c>
    </row>
    <row r="586" spans="1:6" ht="12.75">
      <c r="A586" s="631" t="s">
        <v>1266</v>
      </c>
      <c r="B586" s="636">
        <v>28033</v>
      </c>
      <c r="C586" s="636">
        <v>5709</v>
      </c>
      <c r="D586" s="636">
        <v>4526</v>
      </c>
      <c r="E586" s="636">
        <v>239</v>
      </c>
      <c r="F586" s="636">
        <v>1226</v>
      </c>
    </row>
    <row r="587" spans="1:6" ht="12.75">
      <c r="A587" s="637" t="s">
        <v>881</v>
      </c>
      <c r="B587" s="638">
        <v>474</v>
      </c>
      <c r="C587" s="638">
        <v>71</v>
      </c>
      <c r="D587" s="638">
        <v>147</v>
      </c>
      <c r="E587" s="638">
        <v>7</v>
      </c>
      <c r="F587" s="638">
        <v>19</v>
      </c>
    </row>
    <row r="588" spans="1:6" ht="12.75">
      <c r="A588" s="631" t="s">
        <v>882</v>
      </c>
      <c r="B588" s="636">
        <v>1553</v>
      </c>
      <c r="C588" s="636">
        <v>322</v>
      </c>
      <c r="D588" s="636">
        <v>519</v>
      </c>
      <c r="E588" s="636">
        <v>3</v>
      </c>
      <c r="F588" s="636">
        <v>103</v>
      </c>
    </row>
    <row r="589" spans="1:6" ht="12.75">
      <c r="A589" s="637" t="s">
        <v>1267</v>
      </c>
      <c r="B589" s="638">
        <v>354</v>
      </c>
      <c r="C589" s="638">
        <v>53</v>
      </c>
      <c r="D589" s="638">
        <v>132</v>
      </c>
      <c r="E589" s="638">
        <v>4</v>
      </c>
      <c r="F589" s="638">
        <v>34</v>
      </c>
    </row>
    <row r="590" spans="1:6" ht="12.75">
      <c r="A590" s="631" t="s">
        <v>883</v>
      </c>
      <c r="B590" s="636">
        <v>152</v>
      </c>
      <c r="C590" s="636">
        <v>45</v>
      </c>
      <c r="D590" s="636">
        <v>83</v>
      </c>
      <c r="E590" s="636">
        <v>0</v>
      </c>
      <c r="F590" s="636">
        <v>29</v>
      </c>
    </row>
    <row r="591" spans="1:6" ht="12.75">
      <c r="A591" s="637" t="s">
        <v>884</v>
      </c>
      <c r="B591" s="638">
        <v>259</v>
      </c>
      <c r="C591" s="638">
        <v>61</v>
      </c>
      <c r="D591" s="638">
        <v>83</v>
      </c>
      <c r="E591" s="638">
        <v>1</v>
      </c>
      <c r="F591" s="638">
        <v>5</v>
      </c>
    </row>
    <row r="592" spans="1:6" ht="12.75">
      <c r="A592" s="631" t="s">
        <v>885</v>
      </c>
      <c r="B592" s="636">
        <v>393</v>
      </c>
      <c r="C592" s="636">
        <v>44</v>
      </c>
      <c r="D592" s="636">
        <v>99</v>
      </c>
      <c r="E592" s="636">
        <v>2</v>
      </c>
      <c r="F592" s="636">
        <v>37</v>
      </c>
    </row>
    <row r="593" spans="1:6" ht="12.75">
      <c r="A593" s="637" t="s">
        <v>886</v>
      </c>
      <c r="B593" s="638">
        <v>5418</v>
      </c>
      <c r="C593" s="638">
        <v>1679</v>
      </c>
      <c r="D593" s="638">
        <v>1045</v>
      </c>
      <c r="E593" s="638">
        <v>11</v>
      </c>
      <c r="F593" s="638">
        <v>175</v>
      </c>
    </row>
    <row r="594" spans="1:6" ht="12.75">
      <c r="A594" s="631" t="s">
        <v>887</v>
      </c>
      <c r="B594" s="636">
        <v>12337</v>
      </c>
      <c r="C594" s="636">
        <v>2857</v>
      </c>
      <c r="D594" s="636">
        <v>1691</v>
      </c>
      <c r="E594" s="636">
        <v>56</v>
      </c>
      <c r="F594" s="636">
        <v>308</v>
      </c>
    </row>
    <row r="595" spans="1:6" ht="12.75">
      <c r="A595" s="637" t="s">
        <v>1268</v>
      </c>
      <c r="B595" s="638">
        <v>1117</v>
      </c>
      <c r="C595" s="638">
        <v>180</v>
      </c>
      <c r="D595" s="638">
        <v>447</v>
      </c>
      <c r="E595" s="638">
        <v>29</v>
      </c>
      <c r="F595" s="638">
        <v>72</v>
      </c>
    </row>
    <row r="596" spans="1:6" ht="12.75">
      <c r="A596" s="631" t="s">
        <v>888</v>
      </c>
      <c r="B596" s="636">
        <v>159</v>
      </c>
      <c r="C596" s="636">
        <v>33</v>
      </c>
      <c r="D596" s="636">
        <v>79</v>
      </c>
      <c r="E596" s="636">
        <v>0</v>
      </c>
      <c r="F596" s="636">
        <v>21</v>
      </c>
    </row>
    <row r="597" spans="1:6" ht="12.75">
      <c r="A597" s="637" t="s">
        <v>890</v>
      </c>
      <c r="B597" s="638">
        <v>4578</v>
      </c>
      <c r="C597" s="638">
        <v>807</v>
      </c>
      <c r="D597" s="638">
        <v>1795</v>
      </c>
      <c r="E597" s="638">
        <v>28</v>
      </c>
      <c r="F597" s="638">
        <v>348</v>
      </c>
    </row>
    <row r="598" spans="1:6" ht="12.75">
      <c r="A598" s="631" t="s">
        <v>891</v>
      </c>
      <c r="B598" s="636">
        <v>314</v>
      </c>
      <c r="C598" s="636">
        <v>96</v>
      </c>
      <c r="D598" s="636">
        <v>79</v>
      </c>
      <c r="E598" s="636">
        <v>3</v>
      </c>
      <c r="F598" s="636">
        <v>12</v>
      </c>
    </row>
    <row r="599" spans="1:6" ht="12.75">
      <c r="A599" s="637" t="s">
        <v>892</v>
      </c>
      <c r="B599" s="638">
        <v>168</v>
      </c>
      <c r="C599" s="638">
        <v>22</v>
      </c>
      <c r="D599" s="638">
        <v>43</v>
      </c>
      <c r="E599" s="638">
        <v>3</v>
      </c>
      <c r="F599" s="638">
        <v>11</v>
      </c>
    </row>
    <row r="600" spans="1:6" ht="12.75">
      <c r="A600" s="631" t="s">
        <v>893</v>
      </c>
      <c r="B600" s="636">
        <v>735</v>
      </c>
      <c r="C600" s="636">
        <v>113</v>
      </c>
      <c r="D600" s="636">
        <v>144</v>
      </c>
      <c r="E600" s="636">
        <v>0</v>
      </c>
      <c r="F600" s="636">
        <v>28</v>
      </c>
    </row>
    <row r="601" spans="1:6" ht="12.75">
      <c r="A601" s="637" t="s">
        <v>889</v>
      </c>
      <c r="B601" s="638">
        <v>2402</v>
      </c>
      <c r="C601" s="638">
        <v>324</v>
      </c>
      <c r="D601" s="638">
        <v>685</v>
      </c>
      <c r="E601" s="638">
        <v>13</v>
      </c>
      <c r="F601" s="638">
        <v>171</v>
      </c>
    </row>
    <row r="602" spans="1:6" ht="12.75">
      <c r="A602" s="631" t="s">
        <v>894</v>
      </c>
      <c r="B602" s="636">
        <v>167</v>
      </c>
      <c r="C602" s="636">
        <v>19</v>
      </c>
      <c r="D602" s="636">
        <v>63</v>
      </c>
      <c r="E602" s="636">
        <v>14</v>
      </c>
      <c r="F602" s="636">
        <v>29</v>
      </c>
    </row>
    <row r="603" spans="1:6" ht="12.75">
      <c r="A603" s="637" t="s">
        <v>895</v>
      </c>
      <c r="B603" s="638">
        <v>781</v>
      </c>
      <c r="C603" s="638">
        <v>96</v>
      </c>
      <c r="D603" s="638">
        <v>184</v>
      </c>
      <c r="E603" s="638">
        <v>10</v>
      </c>
      <c r="F603" s="638">
        <v>57</v>
      </c>
    </row>
    <row r="604" spans="1:6" ht="12.75">
      <c r="A604" s="631" t="s">
        <v>896</v>
      </c>
      <c r="B604" s="636">
        <v>159</v>
      </c>
      <c r="C604" s="636">
        <v>28</v>
      </c>
      <c r="D604" s="636">
        <v>98</v>
      </c>
      <c r="E604" s="636">
        <v>0</v>
      </c>
      <c r="F604" s="636">
        <v>23</v>
      </c>
    </row>
    <row r="605" spans="1:6" ht="12.75">
      <c r="A605" s="637" t="s">
        <v>1269</v>
      </c>
      <c r="B605" s="638">
        <v>41</v>
      </c>
      <c r="C605" s="638">
        <v>3</v>
      </c>
      <c r="D605" s="638">
        <v>22</v>
      </c>
      <c r="E605" s="638">
        <v>0</v>
      </c>
      <c r="F605" s="638">
        <v>4</v>
      </c>
    </row>
    <row r="606" spans="1:6" ht="12.75">
      <c r="A606" s="631" t="s">
        <v>897</v>
      </c>
      <c r="B606" s="636">
        <v>2165</v>
      </c>
      <c r="C606" s="636">
        <v>597</v>
      </c>
      <c r="D606" s="636">
        <v>551</v>
      </c>
      <c r="E606" s="636">
        <v>14</v>
      </c>
      <c r="F606" s="636">
        <v>136</v>
      </c>
    </row>
    <row r="607" spans="1:6" ht="12.75">
      <c r="A607" s="637" t="s">
        <v>898</v>
      </c>
      <c r="B607" s="638">
        <v>114</v>
      </c>
      <c r="C607" s="638">
        <v>36</v>
      </c>
      <c r="D607" s="638">
        <v>62</v>
      </c>
      <c r="E607" s="638">
        <v>0</v>
      </c>
      <c r="F607" s="638">
        <v>11</v>
      </c>
    </row>
    <row r="608" spans="1:6" ht="12.75">
      <c r="A608" s="631" t="s">
        <v>899</v>
      </c>
      <c r="B608" s="636">
        <v>330</v>
      </c>
      <c r="C608" s="636">
        <v>66</v>
      </c>
      <c r="D608" s="636">
        <v>128</v>
      </c>
      <c r="E608" s="636">
        <v>0</v>
      </c>
      <c r="F608" s="636">
        <v>26</v>
      </c>
    </row>
    <row r="609" spans="1:6" ht="12.75">
      <c r="A609" s="637" t="s">
        <v>900</v>
      </c>
      <c r="B609" s="638">
        <v>118</v>
      </c>
      <c r="C609" s="638">
        <v>23</v>
      </c>
      <c r="D609" s="638">
        <v>57</v>
      </c>
      <c r="E609" s="638">
        <v>0</v>
      </c>
      <c r="F609" s="638">
        <v>4</v>
      </c>
    </row>
    <row r="610" spans="1:6" ht="12.75">
      <c r="A610" s="631" t="s">
        <v>901</v>
      </c>
      <c r="B610" s="636">
        <v>46108</v>
      </c>
      <c r="C610" s="636">
        <v>5622</v>
      </c>
      <c r="D610" s="636">
        <v>14950</v>
      </c>
      <c r="E610" s="636">
        <v>1164</v>
      </c>
      <c r="F610" s="636">
        <v>5124</v>
      </c>
    </row>
    <row r="611" spans="1:6" ht="12.75">
      <c r="A611" s="637" t="s">
        <v>902</v>
      </c>
      <c r="B611" s="638">
        <v>415</v>
      </c>
      <c r="C611" s="638">
        <v>60</v>
      </c>
      <c r="D611" s="638">
        <v>248</v>
      </c>
      <c r="E611" s="638">
        <v>4</v>
      </c>
      <c r="F611" s="638">
        <v>48</v>
      </c>
    </row>
    <row r="612" spans="1:6" ht="12.75">
      <c r="A612" s="631" t="s">
        <v>903</v>
      </c>
      <c r="B612" s="636">
        <v>234</v>
      </c>
      <c r="C612" s="636">
        <v>70</v>
      </c>
      <c r="D612" s="636">
        <v>95</v>
      </c>
      <c r="E612" s="636">
        <v>7</v>
      </c>
      <c r="F612" s="636">
        <v>45</v>
      </c>
    </row>
    <row r="613" spans="1:6" ht="12.75">
      <c r="A613" s="637" t="s">
        <v>904</v>
      </c>
      <c r="B613" s="638">
        <v>425</v>
      </c>
      <c r="C613" s="638">
        <v>160</v>
      </c>
      <c r="D613" s="638">
        <v>153</v>
      </c>
      <c r="E613" s="638">
        <v>1</v>
      </c>
      <c r="F613" s="638">
        <v>36</v>
      </c>
    </row>
    <row r="614" spans="1:6" ht="12.75">
      <c r="A614" s="631" t="s">
        <v>905</v>
      </c>
      <c r="B614" s="636">
        <v>72</v>
      </c>
      <c r="C614" s="636">
        <v>4</v>
      </c>
      <c r="D614" s="636">
        <v>21</v>
      </c>
      <c r="E614" s="636">
        <v>0</v>
      </c>
      <c r="F614" s="636">
        <v>2</v>
      </c>
    </row>
    <row r="615" spans="1:6" ht="12.75">
      <c r="A615" s="637" t="s">
        <v>906</v>
      </c>
      <c r="B615" s="638">
        <v>51033</v>
      </c>
      <c r="C615" s="638">
        <v>8948</v>
      </c>
      <c r="D615" s="638">
        <v>10228</v>
      </c>
      <c r="E615" s="638">
        <v>394</v>
      </c>
      <c r="F615" s="638">
        <v>1563</v>
      </c>
    </row>
    <row r="616" spans="1:6" ht="12.75">
      <c r="A616" s="631" t="s">
        <v>907</v>
      </c>
      <c r="B616" s="636">
        <v>313</v>
      </c>
      <c r="C616" s="636">
        <v>69</v>
      </c>
      <c r="D616" s="636">
        <v>133</v>
      </c>
      <c r="E616" s="636">
        <v>2</v>
      </c>
      <c r="F616" s="636">
        <v>39</v>
      </c>
    </row>
    <row r="617" spans="1:6" ht="12.75">
      <c r="A617" s="637" t="s">
        <v>1270</v>
      </c>
      <c r="B617" s="638">
        <v>401</v>
      </c>
      <c r="C617" s="638">
        <v>51</v>
      </c>
      <c r="D617" s="638">
        <v>110</v>
      </c>
      <c r="E617" s="638">
        <v>5</v>
      </c>
      <c r="F617" s="638">
        <v>26</v>
      </c>
    </row>
    <row r="618" spans="1:6" ht="12.75">
      <c r="A618" s="631" t="s">
        <v>908</v>
      </c>
      <c r="B618" s="636">
        <v>631</v>
      </c>
      <c r="C618" s="636">
        <v>100</v>
      </c>
      <c r="D618" s="636">
        <v>219</v>
      </c>
      <c r="E618" s="636">
        <v>0</v>
      </c>
      <c r="F618" s="636">
        <v>31</v>
      </c>
    </row>
    <row r="619" spans="1:6" ht="12.75">
      <c r="A619" s="637" t="s">
        <v>909</v>
      </c>
      <c r="B619" s="638">
        <v>400</v>
      </c>
      <c r="C619" s="638">
        <v>58</v>
      </c>
      <c r="D619" s="638">
        <v>135</v>
      </c>
      <c r="E619" s="638">
        <v>10</v>
      </c>
      <c r="F619" s="638">
        <v>49</v>
      </c>
    </row>
    <row r="620" spans="1:6" ht="12.75">
      <c r="A620" s="631" t="s">
        <v>910</v>
      </c>
      <c r="B620" s="636">
        <v>692</v>
      </c>
      <c r="C620" s="636">
        <v>115</v>
      </c>
      <c r="D620" s="636">
        <v>237</v>
      </c>
      <c r="E620" s="636">
        <v>12</v>
      </c>
      <c r="F620" s="636">
        <v>70</v>
      </c>
    </row>
    <row r="621" spans="1:6" ht="12.75">
      <c r="A621" s="637" t="s">
        <v>911</v>
      </c>
      <c r="B621" s="638">
        <v>914</v>
      </c>
      <c r="C621" s="638">
        <v>157</v>
      </c>
      <c r="D621" s="638">
        <v>298</v>
      </c>
      <c r="E621" s="638">
        <v>11</v>
      </c>
      <c r="F621" s="638">
        <v>70</v>
      </c>
    </row>
    <row r="622" spans="1:6" ht="12.75">
      <c r="A622" s="631" t="s">
        <v>912</v>
      </c>
      <c r="B622" s="636">
        <v>2428</v>
      </c>
      <c r="C622" s="636">
        <v>433</v>
      </c>
      <c r="D622" s="636">
        <v>631</v>
      </c>
      <c r="E622" s="636">
        <v>21</v>
      </c>
      <c r="F622" s="636">
        <v>156</v>
      </c>
    </row>
    <row r="623" spans="1:6" ht="12.75">
      <c r="A623" s="637" t="s">
        <v>1271</v>
      </c>
      <c r="B623" s="638">
        <v>915</v>
      </c>
      <c r="C623" s="638">
        <v>213</v>
      </c>
      <c r="D623" s="638">
        <v>296</v>
      </c>
      <c r="E623" s="638">
        <v>2</v>
      </c>
      <c r="F623" s="638">
        <v>30</v>
      </c>
    </row>
    <row r="624" spans="1:6" ht="12.75">
      <c r="A624" s="631" t="s">
        <v>913</v>
      </c>
      <c r="B624" s="636">
        <v>183</v>
      </c>
      <c r="C624" s="636">
        <v>23</v>
      </c>
      <c r="D624" s="636">
        <v>83</v>
      </c>
      <c r="E624" s="636">
        <v>1</v>
      </c>
      <c r="F624" s="636">
        <v>11</v>
      </c>
    </row>
    <row r="625" spans="1:6" ht="12.75">
      <c r="A625" s="637" t="s">
        <v>914</v>
      </c>
      <c r="B625" s="638">
        <v>5877</v>
      </c>
      <c r="C625" s="638">
        <v>908</v>
      </c>
      <c r="D625" s="638">
        <v>1465</v>
      </c>
      <c r="E625" s="638">
        <v>33</v>
      </c>
      <c r="F625" s="638">
        <v>271</v>
      </c>
    </row>
    <row r="626" spans="1:6" ht="12.75">
      <c r="A626" s="631" t="s">
        <v>915</v>
      </c>
      <c r="B626" s="636">
        <v>17446</v>
      </c>
      <c r="C626" s="636">
        <v>3066</v>
      </c>
      <c r="D626" s="636">
        <v>3161</v>
      </c>
      <c r="E626" s="636">
        <v>92</v>
      </c>
      <c r="F626" s="636">
        <v>637</v>
      </c>
    </row>
    <row r="627" spans="1:6" ht="12.75">
      <c r="A627" s="637" t="s">
        <v>916</v>
      </c>
      <c r="B627" s="638">
        <v>64</v>
      </c>
      <c r="C627" s="638">
        <v>16</v>
      </c>
      <c r="D627" s="638">
        <v>34</v>
      </c>
      <c r="E627" s="638">
        <v>0</v>
      </c>
      <c r="F627" s="638">
        <v>14</v>
      </c>
    </row>
    <row r="628" spans="1:6" ht="12.75">
      <c r="A628" s="631" t="s">
        <v>917</v>
      </c>
      <c r="B628" s="636">
        <v>1263</v>
      </c>
      <c r="C628" s="636">
        <v>215</v>
      </c>
      <c r="D628" s="636">
        <v>385</v>
      </c>
      <c r="E628" s="636">
        <v>32</v>
      </c>
      <c r="F628" s="636">
        <v>89</v>
      </c>
    </row>
    <row r="629" spans="1:6" ht="12.75">
      <c r="A629" s="637" t="s">
        <v>918</v>
      </c>
      <c r="B629" s="638">
        <v>279</v>
      </c>
      <c r="C629" s="638">
        <v>61</v>
      </c>
      <c r="D629" s="638">
        <v>121</v>
      </c>
      <c r="E629" s="638">
        <v>0</v>
      </c>
      <c r="F629" s="638">
        <v>24</v>
      </c>
    </row>
    <row r="630" spans="1:6" ht="12.75">
      <c r="A630" s="631" t="s">
        <v>919</v>
      </c>
      <c r="B630" s="636">
        <v>669</v>
      </c>
      <c r="C630" s="636">
        <v>122</v>
      </c>
      <c r="D630" s="636">
        <v>188</v>
      </c>
      <c r="E630" s="636">
        <v>143</v>
      </c>
      <c r="F630" s="636">
        <v>122</v>
      </c>
    </row>
    <row r="631" spans="1:6" ht="12.75">
      <c r="A631" s="637" t="s">
        <v>920</v>
      </c>
      <c r="B631" s="638">
        <v>765</v>
      </c>
      <c r="C631" s="638">
        <v>159</v>
      </c>
      <c r="D631" s="638">
        <v>240</v>
      </c>
      <c r="E631" s="638">
        <v>3</v>
      </c>
      <c r="F631" s="638">
        <v>43</v>
      </c>
    </row>
    <row r="632" spans="1:6" ht="12.75">
      <c r="A632" s="631" t="s">
        <v>921</v>
      </c>
      <c r="B632" s="636">
        <v>1574</v>
      </c>
      <c r="C632" s="636">
        <v>248</v>
      </c>
      <c r="D632" s="636">
        <v>723</v>
      </c>
      <c r="E632" s="636">
        <v>179</v>
      </c>
      <c r="F632" s="636">
        <v>361</v>
      </c>
    </row>
    <row r="633" spans="1:6" ht="12.75">
      <c r="A633" s="637" t="s">
        <v>922</v>
      </c>
      <c r="B633" s="638">
        <v>3657</v>
      </c>
      <c r="C633" s="638">
        <v>770</v>
      </c>
      <c r="D633" s="638">
        <v>1222</v>
      </c>
      <c r="E633" s="638">
        <v>29</v>
      </c>
      <c r="F633" s="638">
        <v>197</v>
      </c>
    </row>
    <row r="634" spans="1:6" ht="12.75">
      <c r="A634" s="631" t="s">
        <v>923</v>
      </c>
      <c r="B634" s="636">
        <v>156</v>
      </c>
      <c r="C634" s="636">
        <v>16</v>
      </c>
      <c r="D634" s="636">
        <v>84</v>
      </c>
      <c r="E634" s="636">
        <v>8</v>
      </c>
      <c r="F634" s="636">
        <v>25</v>
      </c>
    </row>
    <row r="635" spans="1:6" ht="12.75">
      <c r="A635" s="637" t="s">
        <v>1272</v>
      </c>
      <c r="B635" s="638">
        <v>6116</v>
      </c>
      <c r="C635" s="638">
        <v>1081</v>
      </c>
      <c r="D635" s="638">
        <v>1309</v>
      </c>
      <c r="E635" s="638">
        <v>63</v>
      </c>
      <c r="F635" s="638">
        <v>358</v>
      </c>
    </row>
    <row r="636" spans="1:6" ht="12.75">
      <c r="A636" s="631" t="s">
        <v>924</v>
      </c>
      <c r="B636" s="636">
        <v>129</v>
      </c>
      <c r="C636" s="636">
        <v>28</v>
      </c>
      <c r="D636" s="636">
        <v>44</v>
      </c>
      <c r="E636" s="636">
        <v>0</v>
      </c>
      <c r="F636" s="636">
        <v>11</v>
      </c>
    </row>
    <row r="637" spans="1:6" ht="12.75">
      <c r="A637" s="637" t="s">
        <v>925</v>
      </c>
      <c r="B637" s="638">
        <v>3389</v>
      </c>
      <c r="C637" s="638">
        <v>658</v>
      </c>
      <c r="D637" s="638">
        <v>731</v>
      </c>
      <c r="E637" s="638">
        <v>22</v>
      </c>
      <c r="F637" s="638">
        <v>138</v>
      </c>
    </row>
    <row r="638" spans="1:6" ht="12.75">
      <c r="A638" s="631" t="s">
        <v>926</v>
      </c>
      <c r="B638" s="636">
        <v>3601</v>
      </c>
      <c r="C638" s="636">
        <v>503</v>
      </c>
      <c r="D638" s="636">
        <v>823</v>
      </c>
      <c r="E638" s="636">
        <v>36</v>
      </c>
      <c r="F638" s="636">
        <v>258</v>
      </c>
    </row>
    <row r="639" spans="1:6" ht="12.75">
      <c r="A639" s="637" t="s">
        <v>927</v>
      </c>
      <c r="B639" s="638">
        <v>362</v>
      </c>
      <c r="C639" s="638">
        <v>78</v>
      </c>
      <c r="D639" s="638">
        <v>109</v>
      </c>
      <c r="E639" s="638">
        <v>1</v>
      </c>
      <c r="F639" s="638">
        <v>15</v>
      </c>
    </row>
    <row r="640" spans="1:6" ht="12.75">
      <c r="A640" s="631" t="s">
        <v>928</v>
      </c>
      <c r="B640" s="636">
        <v>4094</v>
      </c>
      <c r="C640" s="636">
        <v>675</v>
      </c>
      <c r="D640" s="636">
        <v>1262</v>
      </c>
      <c r="E640" s="636">
        <v>25</v>
      </c>
      <c r="F640" s="636">
        <v>185</v>
      </c>
    </row>
    <row r="641" spans="1:6" ht="12.75">
      <c r="A641" s="637" t="s">
        <v>929</v>
      </c>
      <c r="B641" s="638">
        <v>10545</v>
      </c>
      <c r="C641" s="638">
        <v>2888</v>
      </c>
      <c r="D641" s="638">
        <v>2424</v>
      </c>
      <c r="E641" s="638">
        <v>30</v>
      </c>
      <c r="F641" s="638">
        <v>280</v>
      </c>
    </row>
    <row r="642" spans="1:6" ht="12.75">
      <c r="A642" s="631" t="s">
        <v>930</v>
      </c>
      <c r="B642" s="636">
        <v>1646</v>
      </c>
      <c r="C642" s="636">
        <v>204</v>
      </c>
      <c r="D642" s="636">
        <v>332</v>
      </c>
      <c r="E642" s="636">
        <v>79</v>
      </c>
      <c r="F642" s="636">
        <v>164</v>
      </c>
    </row>
    <row r="643" spans="1:6" ht="12.75">
      <c r="A643" s="637" t="s">
        <v>1273</v>
      </c>
      <c r="B643" s="638">
        <v>265</v>
      </c>
      <c r="C643" s="638">
        <v>65</v>
      </c>
      <c r="D643" s="638">
        <v>69</v>
      </c>
      <c r="E643" s="638">
        <v>39</v>
      </c>
      <c r="F643" s="638">
        <v>68</v>
      </c>
    </row>
    <row r="644" spans="1:6" ht="12.75">
      <c r="A644" s="631" t="s">
        <v>0</v>
      </c>
      <c r="B644" s="636">
        <v>36355</v>
      </c>
      <c r="C644" s="636">
        <v>6040</v>
      </c>
      <c r="D644" s="636">
        <v>6698</v>
      </c>
      <c r="E644" s="636">
        <v>241</v>
      </c>
      <c r="F644" s="636">
        <v>1401</v>
      </c>
    </row>
    <row r="645" spans="1:6" ht="12.75">
      <c r="A645" s="637" t="s">
        <v>1</v>
      </c>
      <c r="B645" s="638">
        <v>151</v>
      </c>
      <c r="C645" s="638">
        <v>26</v>
      </c>
      <c r="D645" s="638">
        <v>100</v>
      </c>
      <c r="E645" s="638">
        <v>0</v>
      </c>
      <c r="F645" s="638">
        <v>24</v>
      </c>
    </row>
    <row r="646" spans="1:6" ht="12.75">
      <c r="A646" s="631" t="s">
        <v>2</v>
      </c>
      <c r="B646" s="636">
        <v>192</v>
      </c>
      <c r="C646" s="636">
        <v>31</v>
      </c>
      <c r="D646" s="636">
        <v>80</v>
      </c>
      <c r="E646" s="636">
        <v>0</v>
      </c>
      <c r="F646" s="636">
        <v>8</v>
      </c>
    </row>
    <row r="647" spans="1:6" ht="12.75">
      <c r="A647" s="637" t="s">
        <v>3</v>
      </c>
      <c r="B647" s="638">
        <v>181</v>
      </c>
      <c r="C647" s="638">
        <v>24</v>
      </c>
      <c r="D647" s="638">
        <v>106</v>
      </c>
      <c r="E647" s="638">
        <v>2</v>
      </c>
      <c r="F647" s="638">
        <v>29</v>
      </c>
    </row>
    <row r="648" spans="1:6" ht="12.75">
      <c r="A648" s="631" t="s">
        <v>4</v>
      </c>
      <c r="B648" s="636">
        <v>97239</v>
      </c>
      <c r="C648" s="636">
        <v>15330</v>
      </c>
      <c r="D648" s="636">
        <v>17434</v>
      </c>
      <c r="E648" s="636">
        <v>424</v>
      </c>
      <c r="F648" s="636">
        <v>3094</v>
      </c>
    </row>
    <row r="649" spans="1:6" ht="12.75">
      <c r="A649" s="637" t="s">
        <v>5</v>
      </c>
      <c r="B649" s="638">
        <v>114</v>
      </c>
      <c r="C649" s="638">
        <v>23</v>
      </c>
      <c r="D649" s="638">
        <v>56</v>
      </c>
      <c r="E649" s="638">
        <v>0</v>
      </c>
      <c r="F649" s="638">
        <v>17</v>
      </c>
    </row>
    <row r="650" spans="1:6" ht="12.75">
      <c r="A650" s="631" t="s">
        <v>6</v>
      </c>
      <c r="B650" s="636">
        <v>223</v>
      </c>
      <c r="C650" s="636">
        <v>42</v>
      </c>
      <c r="D650" s="636">
        <v>92</v>
      </c>
      <c r="E650" s="636">
        <v>0</v>
      </c>
      <c r="F650" s="636">
        <v>13</v>
      </c>
    </row>
    <row r="651" spans="1:6" ht="12.75">
      <c r="A651" s="637" t="s">
        <v>7</v>
      </c>
      <c r="B651" s="638">
        <v>201</v>
      </c>
      <c r="C651" s="638">
        <v>54</v>
      </c>
      <c r="D651" s="638">
        <v>120</v>
      </c>
      <c r="E651" s="638">
        <v>23</v>
      </c>
      <c r="F651" s="638">
        <v>49</v>
      </c>
    </row>
    <row r="652" spans="1:6" ht="12.75">
      <c r="A652" s="631" t="s">
        <v>8</v>
      </c>
      <c r="B652" s="636">
        <v>117</v>
      </c>
      <c r="C652" s="636">
        <v>91</v>
      </c>
      <c r="D652" s="636">
        <v>57</v>
      </c>
      <c r="E652" s="636">
        <v>0</v>
      </c>
      <c r="F652" s="636">
        <v>8</v>
      </c>
    </row>
    <row r="653" spans="1:6" ht="12.75">
      <c r="A653" s="637" t="s">
        <v>9</v>
      </c>
      <c r="B653" s="638">
        <v>3731</v>
      </c>
      <c r="C653" s="638">
        <v>464</v>
      </c>
      <c r="D653" s="638">
        <v>884</v>
      </c>
      <c r="E653" s="638">
        <v>32</v>
      </c>
      <c r="F653" s="638">
        <v>268</v>
      </c>
    </row>
    <row r="654" spans="1:6" ht="12.75">
      <c r="A654" s="631" t="s">
        <v>10</v>
      </c>
      <c r="B654" s="636">
        <v>297</v>
      </c>
      <c r="C654" s="636">
        <v>56</v>
      </c>
      <c r="D654" s="636">
        <v>101</v>
      </c>
      <c r="E654" s="636">
        <v>0</v>
      </c>
      <c r="F654" s="636">
        <v>20</v>
      </c>
    </row>
    <row r="655" spans="1:6" ht="12.75">
      <c r="A655" s="637" t="s">
        <v>11</v>
      </c>
      <c r="B655" s="638">
        <v>12565</v>
      </c>
      <c r="C655" s="638">
        <v>2190</v>
      </c>
      <c r="D655" s="638">
        <v>1830</v>
      </c>
      <c r="E655" s="638">
        <v>60</v>
      </c>
      <c r="F655" s="638">
        <v>288</v>
      </c>
    </row>
    <row r="656" spans="1:6" ht="12.75">
      <c r="A656" s="631" t="s">
        <v>12</v>
      </c>
      <c r="B656" s="636">
        <v>12835</v>
      </c>
      <c r="C656" s="636">
        <v>2216</v>
      </c>
      <c r="D656" s="636">
        <v>2519</v>
      </c>
      <c r="E656" s="636">
        <v>75</v>
      </c>
      <c r="F656" s="636">
        <v>324</v>
      </c>
    </row>
    <row r="657" spans="1:6" ht="12.75">
      <c r="A657" s="637" t="s">
        <v>13</v>
      </c>
      <c r="B657" s="638">
        <v>277</v>
      </c>
      <c r="C657" s="638">
        <v>35</v>
      </c>
      <c r="D657" s="638">
        <v>126</v>
      </c>
      <c r="E657" s="638">
        <v>2</v>
      </c>
      <c r="F657" s="638">
        <v>28</v>
      </c>
    </row>
    <row r="658" spans="1:6" ht="12.75">
      <c r="A658" s="631" t="s">
        <v>14</v>
      </c>
      <c r="B658" s="636">
        <v>13186</v>
      </c>
      <c r="C658" s="636">
        <v>2899</v>
      </c>
      <c r="D658" s="636">
        <v>2816</v>
      </c>
      <c r="E658" s="636">
        <v>91</v>
      </c>
      <c r="F658" s="636">
        <v>337</v>
      </c>
    </row>
    <row r="659" spans="1:6" ht="12.75">
      <c r="A659" s="637" t="s">
        <v>15</v>
      </c>
      <c r="B659" s="638">
        <v>76</v>
      </c>
      <c r="C659" s="638">
        <v>21</v>
      </c>
      <c r="D659" s="638">
        <v>40</v>
      </c>
      <c r="E659" s="638">
        <v>0</v>
      </c>
      <c r="F659" s="638">
        <v>8</v>
      </c>
    </row>
    <row r="660" spans="1:6" ht="12.75">
      <c r="A660" s="631" t="s">
        <v>16</v>
      </c>
      <c r="B660" s="636">
        <v>12817</v>
      </c>
      <c r="C660" s="636">
        <v>2152</v>
      </c>
      <c r="D660" s="636">
        <v>2150</v>
      </c>
      <c r="E660" s="636">
        <v>109</v>
      </c>
      <c r="F660" s="636">
        <v>664</v>
      </c>
    </row>
    <row r="661" spans="1:6" ht="12.75">
      <c r="A661" s="637" t="s">
        <v>17</v>
      </c>
      <c r="B661" s="638">
        <v>5688</v>
      </c>
      <c r="C661" s="638">
        <v>1759</v>
      </c>
      <c r="D661" s="638">
        <v>988</v>
      </c>
      <c r="E661" s="638">
        <v>5</v>
      </c>
      <c r="F661" s="638">
        <v>164</v>
      </c>
    </row>
    <row r="662" spans="1:6" ht="12.75">
      <c r="A662" s="631" t="s">
        <v>18</v>
      </c>
      <c r="B662" s="636">
        <v>95</v>
      </c>
      <c r="C662" s="636">
        <v>24</v>
      </c>
      <c r="D662" s="636">
        <v>52</v>
      </c>
      <c r="E662" s="636">
        <v>3</v>
      </c>
      <c r="F662" s="636">
        <v>25</v>
      </c>
    </row>
    <row r="663" spans="1:6" ht="12.75">
      <c r="A663" s="637" t="s">
        <v>19</v>
      </c>
      <c r="B663" s="638">
        <v>194</v>
      </c>
      <c r="C663" s="638">
        <v>49</v>
      </c>
      <c r="D663" s="638">
        <v>115</v>
      </c>
      <c r="E663" s="638">
        <v>8</v>
      </c>
      <c r="F663" s="638">
        <v>31</v>
      </c>
    </row>
    <row r="664" spans="1:6" ht="12.75">
      <c r="A664" s="631" t="s">
        <v>20</v>
      </c>
      <c r="B664" s="636">
        <v>3314</v>
      </c>
      <c r="C664" s="636">
        <v>716</v>
      </c>
      <c r="D664" s="636">
        <v>750</v>
      </c>
      <c r="E664" s="636">
        <v>15</v>
      </c>
      <c r="F664" s="636">
        <v>155</v>
      </c>
    </row>
    <row r="665" spans="1:6" ht="12.75">
      <c r="A665" s="637" t="s">
        <v>21</v>
      </c>
      <c r="B665" s="638">
        <v>593</v>
      </c>
      <c r="C665" s="638">
        <v>108</v>
      </c>
      <c r="D665" s="638">
        <v>203</v>
      </c>
      <c r="E665" s="638">
        <v>1</v>
      </c>
      <c r="F665" s="638">
        <v>54</v>
      </c>
    </row>
    <row r="666" spans="1:6" ht="12.75">
      <c r="A666" s="631" t="s">
        <v>22</v>
      </c>
      <c r="B666" s="636">
        <v>36206</v>
      </c>
      <c r="C666" s="636">
        <v>6562</v>
      </c>
      <c r="D666" s="636">
        <v>5807</v>
      </c>
      <c r="E666" s="636">
        <v>302</v>
      </c>
      <c r="F666" s="636">
        <v>1357</v>
      </c>
    </row>
    <row r="667" spans="1:6" ht="12.75">
      <c r="A667" s="637" t="s">
        <v>23</v>
      </c>
      <c r="B667" s="638">
        <v>309</v>
      </c>
      <c r="C667" s="638">
        <v>74</v>
      </c>
      <c r="D667" s="638">
        <v>133</v>
      </c>
      <c r="E667" s="638">
        <v>3</v>
      </c>
      <c r="F667" s="638">
        <v>26</v>
      </c>
    </row>
    <row r="668" spans="1:6" ht="12.75">
      <c r="A668" s="631" t="s">
        <v>24</v>
      </c>
      <c r="B668" s="636">
        <v>6894</v>
      </c>
      <c r="C668" s="636">
        <v>925</v>
      </c>
      <c r="D668" s="636">
        <v>1763</v>
      </c>
      <c r="E668" s="636">
        <v>66</v>
      </c>
      <c r="F668" s="636">
        <v>264</v>
      </c>
    </row>
    <row r="669" spans="1:6" ht="12.75">
      <c r="A669" s="637" t="s">
        <v>25</v>
      </c>
      <c r="B669" s="638">
        <v>1766</v>
      </c>
      <c r="C669" s="638">
        <v>470</v>
      </c>
      <c r="D669" s="638">
        <v>488</v>
      </c>
      <c r="E669" s="638">
        <v>4</v>
      </c>
      <c r="F669" s="638">
        <v>92</v>
      </c>
    </row>
    <row r="670" spans="1:6" ht="12.75">
      <c r="A670" s="631" t="s">
        <v>26</v>
      </c>
      <c r="B670" s="636">
        <v>8246</v>
      </c>
      <c r="C670" s="636">
        <v>1189</v>
      </c>
      <c r="D670" s="636">
        <v>1885</v>
      </c>
      <c r="E670" s="636">
        <v>38</v>
      </c>
      <c r="F670" s="636">
        <v>391</v>
      </c>
    </row>
    <row r="671" spans="1:6" ht="12.75">
      <c r="A671" s="637" t="s">
        <v>27</v>
      </c>
      <c r="B671" s="638">
        <v>2012</v>
      </c>
      <c r="C671" s="638">
        <v>602</v>
      </c>
      <c r="D671" s="638">
        <v>612</v>
      </c>
      <c r="E671" s="638">
        <v>12</v>
      </c>
      <c r="F671" s="638">
        <v>77</v>
      </c>
    </row>
    <row r="672" spans="1:6" ht="12.75">
      <c r="A672" s="631" t="s">
        <v>28</v>
      </c>
      <c r="B672" s="636">
        <v>359</v>
      </c>
      <c r="C672" s="636">
        <v>53</v>
      </c>
      <c r="D672" s="636">
        <v>119</v>
      </c>
      <c r="E672" s="636">
        <v>0</v>
      </c>
      <c r="F672" s="636">
        <v>20</v>
      </c>
    </row>
    <row r="673" spans="1:6" ht="12.75">
      <c r="A673" s="637" t="s">
        <v>29</v>
      </c>
      <c r="B673" s="638">
        <v>39955</v>
      </c>
      <c r="C673" s="638">
        <v>10752</v>
      </c>
      <c r="D673" s="638">
        <v>5973</v>
      </c>
      <c r="E673" s="638">
        <v>104</v>
      </c>
      <c r="F673" s="638">
        <v>1005</v>
      </c>
    </row>
    <row r="674" spans="1:6" ht="12.75">
      <c r="A674" s="631" t="s">
        <v>30</v>
      </c>
      <c r="B674" s="636">
        <v>590</v>
      </c>
      <c r="C674" s="636">
        <v>104</v>
      </c>
      <c r="D674" s="636">
        <v>171</v>
      </c>
      <c r="E674" s="636">
        <v>23</v>
      </c>
      <c r="F674" s="636">
        <v>62</v>
      </c>
    </row>
    <row r="675" spans="1:6" ht="12.75">
      <c r="A675" s="637" t="s">
        <v>31</v>
      </c>
      <c r="B675" s="638">
        <v>85</v>
      </c>
      <c r="C675" s="638">
        <v>6</v>
      </c>
      <c r="D675" s="638">
        <v>32</v>
      </c>
      <c r="E675" s="638">
        <v>1</v>
      </c>
      <c r="F675" s="638">
        <v>4</v>
      </c>
    </row>
    <row r="676" spans="1:6" ht="12.75">
      <c r="A676" s="631" t="s">
        <v>32</v>
      </c>
      <c r="B676" s="636">
        <v>1317</v>
      </c>
      <c r="C676" s="636">
        <v>412</v>
      </c>
      <c r="D676" s="636">
        <v>347</v>
      </c>
      <c r="E676" s="636">
        <v>14</v>
      </c>
      <c r="F676" s="636">
        <v>86</v>
      </c>
    </row>
    <row r="677" spans="1:6" ht="12.75">
      <c r="A677" s="637" t="s">
        <v>33</v>
      </c>
      <c r="B677" s="638">
        <v>4739</v>
      </c>
      <c r="C677" s="638">
        <v>888</v>
      </c>
      <c r="D677" s="638">
        <v>859</v>
      </c>
      <c r="E677" s="638">
        <v>64</v>
      </c>
      <c r="F677" s="638">
        <v>326</v>
      </c>
    </row>
    <row r="678" spans="1:6" ht="12.75">
      <c r="A678" s="631" t="s">
        <v>34</v>
      </c>
      <c r="B678" s="636">
        <v>551</v>
      </c>
      <c r="C678" s="636">
        <v>124</v>
      </c>
      <c r="D678" s="636">
        <v>235</v>
      </c>
      <c r="E678" s="636">
        <v>13</v>
      </c>
      <c r="F678" s="636">
        <v>68</v>
      </c>
    </row>
    <row r="679" spans="1:6" ht="12.75">
      <c r="A679" s="637" t="s">
        <v>35</v>
      </c>
      <c r="B679" s="638">
        <v>3078</v>
      </c>
      <c r="C679" s="638">
        <v>769</v>
      </c>
      <c r="D679" s="638">
        <v>705</v>
      </c>
      <c r="E679" s="638">
        <v>4</v>
      </c>
      <c r="F679" s="638">
        <v>103</v>
      </c>
    </row>
    <row r="680" spans="1:6" ht="12.75">
      <c r="A680" s="631" t="s">
        <v>36</v>
      </c>
      <c r="B680" s="636">
        <v>11883</v>
      </c>
      <c r="C680" s="636">
        <v>3606</v>
      </c>
      <c r="D680" s="636">
        <v>2904</v>
      </c>
      <c r="E680" s="636">
        <v>21</v>
      </c>
      <c r="F680" s="636">
        <v>316</v>
      </c>
    </row>
    <row r="681" spans="1:6" ht="12.75">
      <c r="A681" s="637" t="s">
        <v>37</v>
      </c>
      <c r="B681" s="638">
        <v>18527</v>
      </c>
      <c r="C681" s="638">
        <v>4711</v>
      </c>
      <c r="D681" s="638">
        <v>2820</v>
      </c>
      <c r="E681" s="638">
        <v>155</v>
      </c>
      <c r="F681" s="638">
        <v>722</v>
      </c>
    </row>
    <row r="682" spans="1:6" ht="12.75">
      <c r="A682" s="631" t="s">
        <v>38</v>
      </c>
      <c r="B682" s="636">
        <v>766</v>
      </c>
      <c r="C682" s="636">
        <v>148</v>
      </c>
      <c r="D682" s="636">
        <v>265</v>
      </c>
      <c r="E682" s="636">
        <v>5</v>
      </c>
      <c r="F682" s="636">
        <v>50</v>
      </c>
    </row>
    <row r="683" spans="1:6" ht="12.75">
      <c r="A683" s="637" t="s">
        <v>39</v>
      </c>
      <c r="B683" s="638">
        <v>381</v>
      </c>
      <c r="C683" s="638">
        <v>86</v>
      </c>
      <c r="D683" s="638">
        <v>157</v>
      </c>
      <c r="E683" s="638">
        <v>4</v>
      </c>
      <c r="F683" s="638">
        <v>44</v>
      </c>
    </row>
    <row r="684" spans="1:6" ht="12.75">
      <c r="A684" s="631" t="s">
        <v>40</v>
      </c>
      <c r="B684" s="636">
        <v>141</v>
      </c>
      <c r="C684" s="636">
        <v>15</v>
      </c>
      <c r="D684" s="636">
        <v>78</v>
      </c>
      <c r="E684" s="636">
        <v>25</v>
      </c>
      <c r="F684" s="636">
        <v>41</v>
      </c>
    </row>
    <row r="685" spans="1:6" ht="12.75">
      <c r="A685" s="637" t="s">
        <v>41</v>
      </c>
      <c r="B685" s="638">
        <v>5047</v>
      </c>
      <c r="C685" s="638">
        <v>1164</v>
      </c>
      <c r="D685" s="638">
        <v>1063</v>
      </c>
      <c r="E685" s="638">
        <v>37</v>
      </c>
      <c r="F685" s="638">
        <v>198</v>
      </c>
    </row>
    <row r="686" spans="1:6" ht="12.75">
      <c r="A686" s="631" t="s">
        <v>42</v>
      </c>
      <c r="B686" s="636">
        <v>5148</v>
      </c>
      <c r="C686" s="636">
        <v>956</v>
      </c>
      <c r="D686" s="636">
        <v>1399</v>
      </c>
      <c r="E686" s="636">
        <v>55</v>
      </c>
      <c r="F686" s="636">
        <v>344</v>
      </c>
    </row>
    <row r="687" spans="1:6" ht="12.75">
      <c r="A687" s="637" t="s">
        <v>43</v>
      </c>
      <c r="B687" s="638">
        <v>2111</v>
      </c>
      <c r="C687" s="638">
        <v>583</v>
      </c>
      <c r="D687" s="638">
        <v>662</v>
      </c>
      <c r="E687" s="638">
        <v>6</v>
      </c>
      <c r="F687" s="638">
        <v>119</v>
      </c>
    </row>
    <row r="688" spans="1:6" ht="12.75">
      <c r="A688" s="631" t="s">
        <v>44</v>
      </c>
      <c r="B688" s="636">
        <v>652</v>
      </c>
      <c r="C688" s="636">
        <v>76</v>
      </c>
      <c r="D688" s="636">
        <v>227</v>
      </c>
      <c r="E688" s="636">
        <v>19</v>
      </c>
      <c r="F688" s="636">
        <v>79</v>
      </c>
    </row>
    <row r="689" spans="1:6" ht="12.75">
      <c r="A689" s="637" t="s">
        <v>45</v>
      </c>
      <c r="B689" s="638">
        <v>147</v>
      </c>
      <c r="C689" s="638">
        <v>21</v>
      </c>
      <c r="D689" s="638">
        <v>40</v>
      </c>
      <c r="E689" s="638">
        <v>0</v>
      </c>
      <c r="F689" s="638">
        <v>7</v>
      </c>
    </row>
    <row r="690" spans="1:6" ht="12.75">
      <c r="A690" s="631" t="s">
        <v>46</v>
      </c>
      <c r="B690" s="636">
        <v>3390</v>
      </c>
      <c r="C690" s="636">
        <v>494</v>
      </c>
      <c r="D690" s="636">
        <v>1031</v>
      </c>
      <c r="E690" s="636">
        <v>49</v>
      </c>
      <c r="F690" s="636">
        <v>214</v>
      </c>
    </row>
    <row r="691" spans="1:6" ht="12.75">
      <c r="A691" s="637" t="s">
        <v>47</v>
      </c>
      <c r="B691" s="638">
        <v>1994</v>
      </c>
      <c r="C691" s="638">
        <v>252</v>
      </c>
      <c r="D691" s="638">
        <v>442</v>
      </c>
      <c r="E691" s="638">
        <v>4</v>
      </c>
      <c r="F691" s="638">
        <v>89</v>
      </c>
    </row>
    <row r="692" spans="1:6" ht="12.75">
      <c r="A692" s="631" t="s">
        <v>48</v>
      </c>
      <c r="B692" s="636">
        <v>686</v>
      </c>
      <c r="C692" s="636">
        <v>206</v>
      </c>
      <c r="D692" s="636">
        <v>192</v>
      </c>
      <c r="E692" s="636">
        <v>1</v>
      </c>
      <c r="F692" s="636">
        <v>33</v>
      </c>
    </row>
    <row r="693" spans="1:6" ht="12.75">
      <c r="A693" s="637" t="s">
        <v>49</v>
      </c>
      <c r="B693" s="638">
        <v>1828</v>
      </c>
      <c r="C693" s="638">
        <v>154</v>
      </c>
      <c r="D693" s="638">
        <v>667</v>
      </c>
      <c r="E693" s="638">
        <v>9</v>
      </c>
      <c r="F693" s="638">
        <v>96</v>
      </c>
    </row>
    <row r="694" spans="1:6" ht="12.75">
      <c r="A694" s="631" t="s">
        <v>50</v>
      </c>
      <c r="B694" s="636">
        <v>20</v>
      </c>
      <c r="C694" s="636">
        <v>2</v>
      </c>
      <c r="D694" s="636">
        <v>21</v>
      </c>
      <c r="E694" s="636">
        <v>0</v>
      </c>
      <c r="F694" s="636">
        <v>3</v>
      </c>
    </row>
    <row r="695" spans="1:6" ht="12.75">
      <c r="A695" s="637" t="s">
        <v>51</v>
      </c>
      <c r="B695" s="638">
        <v>507</v>
      </c>
      <c r="C695" s="638">
        <v>73</v>
      </c>
      <c r="D695" s="638">
        <v>208</v>
      </c>
      <c r="E695" s="638">
        <v>1</v>
      </c>
      <c r="F695" s="638">
        <v>24</v>
      </c>
    </row>
    <row r="696" spans="1:6" ht="12.75">
      <c r="A696" s="631" t="s">
        <v>52</v>
      </c>
      <c r="B696" s="636">
        <v>1564</v>
      </c>
      <c r="C696" s="636">
        <v>273</v>
      </c>
      <c r="D696" s="636">
        <v>385</v>
      </c>
      <c r="E696" s="636">
        <v>15</v>
      </c>
      <c r="F696" s="636">
        <v>102</v>
      </c>
    </row>
    <row r="697" spans="1:6" ht="12.75">
      <c r="A697" s="637" t="s">
        <v>53</v>
      </c>
      <c r="B697" s="638">
        <v>1832</v>
      </c>
      <c r="C697" s="638">
        <v>289</v>
      </c>
      <c r="D697" s="638">
        <v>437</v>
      </c>
      <c r="E697" s="638">
        <v>8</v>
      </c>
      <c r="F697" s="638">
        <v>68</v>
      </c>
    </row>
    <row r="698" spans="1:6" ht="12.75">
      <c r="A698" s="631" t="s">
        <v>54</v>
      </c>
      <c r="B698" s="636">
        <v>332</v>
      </c>
      <c r="C698" s="636">
        <v>66</v>
      </c>
      <c r="D698" s="636">
        <v>88</v>
      </c>
      <c r="E698" s="636">
        <v>2</v>
      </c>
      <c r="F698" s="636">
        <v>7</v>
      </c>
    </row>
    <row r="699" spans="1:6" ht="12.75">
      <c r="A699" s="637" t="s">
        <v>55</v>
      </c>
      <c r="B699" s="638">
        <v>5799</v>
      </c>
      <c r="C699" s="638">
        <v>984</v>
      </c>
      <c r="D699" s="638">
        <v>1247</v>
      </c>
      <c r="E699" s="638">
        <v>42</v>
      </c>
      <c r="F699" s="638">
        <v>369</v>
      </c>
    </row>
    <row r="700" spans="1:6" ht="12.75">
      <c r="A700" s="631" t="s">
        <v>56</v>
      </c>
      <c r="B700" s="636">
        <v>14300</v>
      </c>
      <c r="C700" s="636">
        <v>4252</v>
      </c>
      <c r="D700" s="636">
        <v>2482</v>
      </c>
      <c r="E700" s="636">
        <v>58</v>
      </c>
      <c r="F700" s="636">
        <v>345</v>
      </c>
    </row>
    <row r="701" spans="1:6" ht="12.75">
      <c r="A701" s="637" t="s">
        <v>57</v>
      </c>
      <c r="B701" s="638">
        <v>1829</v>
      </c>
      <c r="C701" s="638">
        <v>359</v>
      </c>
      <c r="D701" s="638">
        <v>688</v>
      </c>
      <c r="E701" s="638">
        <v>18</v>
      </c>
      <c r="F701" s="638">
        <v>142</v>
      </c>
    </row>
    <row r="702" spans="1:6" ht="12.75">
      <c r="A702" s="631" t="s">
        <v>58</v>
      </c>
      <c r="B702" s="636">
        <v>484</v>
      </c>
      <c r="C702" s="636">
        <v>74</v>
      </c>
      <c r="D702" s="636">
        <v>176</v>
      </c>
      <c r="E702" s="636">
        <v>0</v>
      </c>
      <c r="F702" s="636">
        <v>41</v>
      </c>
    </row>
    <row r="703" spans="1:6" ht="12.75">
      <c r="A703" s="637" t="s">
        <v>59</v>
      </c>
      <c r="B703" s="638">
        <v>124</v>
      </c>
      <c r="C703" s="638">
        <v>49</v>
      </c>
      <c r="D703" s="638">
        <v>33</v>
      </c>
      <c r="E703" s="638">
        <v>0</v>
      </c>
      <c r="F703" s="638">
        <v>5</v>
      </c>
    </row>
    <row r="704" spans="1:6" ht="12.75">
      <c r="A704" s="631" t="s">
        <v>60</v>
      </c>
      <c r="B704" s="636">
        <v>1989</v>
      </c>
      <c r="C704" s="636">
        <v>476</v>
      </c>
      <c r="D704" s="636">
        <v>565</v>
      </c>
      <c r="E704" s="636">
        <v>11</v>
      </c>
      <c r="F704" s="636">
        <v>78</v>
      </c>
    </row>
    <row r="705" spans="1:6" ht="12.75">
      <c r="A705" s="637" t="s">
        <v>61</v>
      </c>
      <c r="B705" s="638">
        <v>1735</v>
      </c>
      <c r="C705" s="638">
        <v>408</v>
      </c>
      <c r="D705" s="638">
        <v>427</v>
      </c>
      <c r="E705" s="638">
        <v>4</v>
      </c>
      <c r="F705" s="638">
        <v>132</v>
      </c>
    </row>
    <row r="706" spans="1:6" ht="12.75">
      <c r="A706" s="631" t="s">
        <v>62</v>
      </c>
      <c r="B706" s="636">
        <v>773</v>
      </c>
      <c r="C706" s="636">
        <v>140</v>
      </c>
      <c r="D706" s="636">
        <v>211</v>
      </c>
      <c r="E706" s="636">
        <v>4</v>
      </c>
      <c r="F706" s="636">
        <v>38</v>
      </c>
    </row>
    <row r="707" spans="1:6" ht="12.75">
      <c r="A707" s="637" t="s">
        <v>63</v>
      </c>
      <c r="B707" s="638">
        <v>8153</v>
      </c>
      <c r="C707" s="638">
        <v>3650</v>
      </c>
      <c r="D707" s="638">
        <v>1793</v>
      </c>
      <c r="E707" s="638">
        <v>85</v>
      </c>
      <c r="F707" s="638">
        <v>212</v>
      </c>
    </row>
    <row r="708" spans="1:6" ht="12.75">
      <c r="A708" s="631" t="s">
        <v>64</v>
      </c>
      <c r="B708" s="636">
        <v>1451</v>
      </c>
      <c r="C708" s="636">
        <v>221</v>
      </c>
      <c r="D708" s="636">
        <v>298</v>
      </c>
      <c r="E708" s="636">
        <v>4</v>
      </c>
      <c r="F708" s="636">
        <v>78</v>
      </c>
    </row>
    <row r="709" spans="1:6" ht="12.75">
      <c r="A709" s="637" t="s">
        <v>65</v>
      </c>
      <c r="B709" s="638">
        <v>163</v>
      </c>
      <c r="C709" s="638">
        <v>33</v>
      </c>
      <c r="D709" s="638">
        <v>69</v>
      </c>
      <c r="E709" s="638">
        <v>1</v>
      </c>
      <c r="F709" s="638">
        <v>10</v>
      </c>
    </row>
    <row r="710" spans="1:6" ht="12.75">
      <c r="A710" s="631" t="s">
        <v>66</v>
      </c>
      <c r="B710" s="636">
        <v>550</v>
      </c>
      <c r="C710" s="636">
        <v>96</v>
      </c>
      <c r="D710" s="636">
        <v>236</v>
      </c>
      <c r="E710" s="636">
        <v>3</v>
      </c>
      <c r="F710" s="636">
        <v>62</v>
      </c>
    </row>
    <row r="711" spans="1:6" ht="12.75">
      <c r="A711" s="637" t="s">
        <v>67</v>
      </c>
      <c r="B711" s="638">
        <v>1269</v>
      </c>
      <c r="C711" s="638">
        <v>278</v>
      </c>
      <c r="D711" s="638">
        <v>382</v>
      </c>
      <c r="E711" s="638">
        <v>0</v>
      </c>
      <c r="F711" s="638">
        <v>56</v>
      </c>
    </row>
    <row r="712" spans="1:6" ht="12.75">
      <c r="A712" s="631" t="s">
        <v>68</v>
      </c>
      <c r="B712" s="636">
        <v>97</v>
      </c>
      <c r="C712" s="636">
        <v>22</v>
      </c>
      <c r="D712" s="636">
        <v>70</v>
      </c>
      <c r="E712" s="636">
        <v>7</v>
      </c>
      <c r="F712" s="636">
        <v>37</v>
      </c>
    </row>
    <row r="713" spans="1:6" ht="12.75">
      <c r="A713" s="637" t="s">
        <v>69</v>
      </c>
      <c r="B713" s="638">
        <v>587</v>
      </c>
      <c r="C713" s="638">
        <v>120</v>
      </c>
      <c r="D713" s="638">
        <v>186</v>
      </c>
      <c r="E713" s="638">
        <v>0</v>
      </c>
      <c r="F713" s="638">
        <v>44</v>
      </c>
    </row>
    <row r="714" spans="1:6" ht="12.75">
      <c r="A714" s="631" t="s">
        <v>70</v>
      </c>
      <c r="B714" s="636">
        <v>351</v>
      </c>
      <c r="C714" s="636">
        <v>106</v>
      </c>
      <c r="D714" s="636">
        <v>162</v>
      </c>
      <c r="E714" s="636">
        <v>2</v>
      </c>
      <c r="F714" s="636">
        <v>31</v>
      </c>
    </row>
    <row r="715" spans="1:6" ht="12.75">
      <c r="A715" s="637" t="s">
        <v>71</v>
      </c>
      <c r="B715" s="638">
        <v>443</v>
      </c>
      <c r="C715" s="638">
        <v>77</v>
      </c>
      <c r="D715" s="638">
        <v>141</v>
      </c>
      <c r="E715" s="638">
        <v>2</v>
      </c>
      <c r="F715" s="638">
        <v>34</v>
      </c>
    </row>
    <row r="716" spans="1:6" ht="12.75">
      <c r="A716" s="631" t="s">
        <v>72</v>
      </c>
      <c r="B716" s="636">
        <v>649</v>
      </c>
      <c r="C716" s="636">
        <v>146</v>
      </c>
      <c r="D716" s="636">
        <v>237</v>
      </c>
      <c r="E716" s="636">
        <v>2</v>
      </c>
      <c r="F716" s="636">
        <v>36</v>
      </c>
    </row>
    <row r="717" spans="1:6" ht="12.75">
      <c r="A717" s="637" t="s">
        <v>73</v>
      </c>
      <c r="B717" s="638">
        <v>1943</v>
      </c>
      <c r="C717" s="638">
        <v>357</v>
      </c>
      <c r="D717" s="638">
        <v>566</v>
      </c>
      <c r="E717" s="638">
        <v>4</v>
      </c>
      <c r="F717" s="638">
        <v>103</v>
      </c>
    </row>
    <row r="718" spans="1:6" ht="12.75">
      <c r="A718" s="631" t="s">
        <v>74</v>
      </c>
      <c r="B718" s="636">
        <v>244</v>
      </c>
      <c r="C718" s="636">
        <v>28</v>
      </c>
      <c r="D718" s="636">
        <v>60</v>
      </c>
      <c r="E718" s="636">
        <v>3</v>
      </c>
      <c r="F718" s="636">
        <v>23</v>
      </c>
    </row>
    <row r="719" spans="1:6" ht="12.75">
      <c r="A719" s="637" t="s">
        <v>75</v>
      </c>
      <c r="B719" s="638">
        <v>136</v>
      </c>
      <c r="C719" s="638">
        <v>37</v>
      </c>
      <c r="D719" s="638">
        <v>47</v>
      </c>
      <c r="E719" s="638">
        <v>0</v>
      </c>
      <c r="F719" s="638">
        <v>7</v>
      </c>
    </row>
    <row r="720" spans="1:6" ht="12.75">
      <c r="A720" s="631" t="s">
        <v>76</v>
      </c>
      <c r="B720" s="636">
        <v>353</v>
      </c>
      <c r="C720" s="636">
        <v>69</v>
      </c>
      <c r="D720" s="636">
        <v>192</v>
      </c>
      <c r="E720" s="636">
        <v>16</v>
      </c>
      <c r="F720" s="636">
        <v>75</v>
      </c>
    </row>
    <row r="721" spans="1:6" ht="12.75">
      <c r="A721" s="637" t="s">
        <v>77</v>
      </c>
      <c r="B721" s="638">
        <v>142</v>
      </c>
      <c r="C721" s="638">
        <v>25</v>
      </c>
      <c r="D721" s="638">
        <v>73</v>
      </c>
      <c r="E721" s="638">
        <v>0</v>
      </c>
      <c r="F721" s="638">
        <v>11</v>
      </c>
    </row>
    <row r="722" spans="1:6" ht="12.75">
      <c r="A722" s="631" t="s">
        <v>78</v>
      </c>
      <c r="B722" s="636">
        <v>522</v>
      </c>
      <c r="C722" s="636">
        <v>59</v>
      </c>
      <c r="D722" s="636">
        <v>134</v>
      </c>
      <c r="E722" s="636">
        <v>0</v>
      </c>
      <c r="F722" s="636">
        <v>13</v>
      </c>
    </row>
    <row r="723" spans="1:6" ht="12.75">
      <c r="A723" s="637" t="s">
        <v>79</v>
      </c>
      <c r="B723" s="638">
        <v>133</v>
      </c>
      <c r="C723" s="638">
        <v>48</v>
      </c>
      <c r="D723" s="638">
        <v>39</v>
      </c>
      <c r="E723" s="638">
        <v>0</v>
      </c>
      <c r="F723" s="638">
        <v>8</v>
      </c>
    </row>
    <row r="724" spans="1:6" ht="12.75">
      <c r="A724" s="631" t="s">
        <v>80</v>
      </c>
      <c r="B724" s="636">
        <v>383</v>
      </c>
      <c r="C724" s="636">
        <v>90</v>
      </c>
      <c r="D724" s="636">
        <v>194</v>
      </c>
      <c r="E724" s="636">
        <v>11</v>
      </c>
      <c r="F724" s="636">
        <v>47</v>
      </c>
    </row>
    <row r="725" spans="1:6" ht="12.75">
      <c r="A725" s="637" t="s">
        <v>81</v>
      </c>
      <c r="B725" s="638">
        <v>13747</v>
      </c>
      <c r="C725" s="638">
        <v>4189</v>
      </c>
      <c r="D725" s="638">
        <v>2430</v>
      </c>
      <c r="E725" s="638">
        <v>136</v>
      </c>
      <c r="F725" s="638">
        <v>422</v>
      </c>
    </row>
    <row r="726" spans="1:6" ht="12.75">
      <c r="A726" s="631" t="s">
        <v>82</v>
      </c>
      <c r="B726" s="636">
        <v>1342</v>
      </c>
      <c r="C726" s="636">
        <v>237</v>
      </c>
      <c r="D726" s="636">
        <v>311</v>
      </c>
      <c r="E726" s="636">
        <v>27</v>
      </c>
      <c r="F726" s="636">
        <v>84</v>
      </c>
    </row>
    <row r="727" spans="1:6" ht="12.75">
      <c r="A727" s="637" t="s">
        <v>83</v>
      </c>
      <c r="B727" s="638">
        <v>1410</v>
      </c>
      <c r="C727" s="638">
        <v>249</v>
      </c>
      <c r="D727" s="638">
        <v>441</v>
      </c>
      <c r="E727" s="638">
        <v>11</v>
      </c>
      <c r="F727" s="638">
        <v>119</v>
      </c>
    </row>
    <row r="728" spans="1:6" ht="12.75">
      <c r="A728" s="631" t="s">
        <v>84</v>
      </c>
      <c r="B728" s="636">
        <v>2555</v>
      </c>
      <c r="C728" s="636">
        <v>583</v>
      </c>
      <c r="D728" s="636">
        <v>614</v>
      </c>
      <c r="E728" s="636">
        <v>7</v>
      </c>
      <c r="F728" s="636">
        <v>127</v>
      </c>
    </row>
    <row r="729" spans="1:6" ht="12.75">
      <c r="A729" s="637" t="s">
        <v>85</v>
      </c>
      <c r="B729" s="638">
        <v>1312</v>
      </c>
      <c r="C729" s="638">
        <v>205</v>
      </c>
      <c r="D729" s="638">
        <v>427</v>
      </c>
      <c r="E729" s="638">
        <v>10</v>
      </c>
      <c r="F729" s="638">
        <v>102</v>
      </c>
    </row>
    <row r="730" spans="1:6" ht="12.75">
      <c r="A730" s="631" t="s">
        <v>86</v>
      </c>
      <c r="B730" s="636">
        <v>818</v>
      </c>
      <c r="C730" s="636">
        <v>23</v>
      </c>
      <c r="D730" s="636">
        <v>424</v>
      </c>
      <c r="E730" s="636">
        <v>5</v>
      </c>
      <c r="F730" s="636">
        <v>23</v>
      </c>
    </row>
    <row r="731" spans="1:6" ht="12.75">
      <c r="A731" s="637" t="s">
        <v>87</v>
      </c>
      <c r="B731" s="638">
        <v>2511</v>
      </c>
      <c r="C731" s="638">
        <v>665</v>
      </c>
      <c r="D731" s="638">
        <v>498</v>
      </c>
      <c r="E731" s="638">
        <v>5</v>
      </c>
      <c r="F731" s="638">
        <v>59</v>
      </c>
    </row>
    <row r="732" spans="1:6" ht="12.75">
      <c r="A732" s="631" t="s">
        <v>88</v>
      </c>
      <c r="B732" s="636">
        <v>1158</v>
      </c>
      <c r="C732" s="636">
        <v>195</v>
      </c>
      <c r="D732" s="636">
        <v>291</v>
      </c>
      <c r="E732" s="636">
        <v>4</v>
      </c>
      <c r="F732" s="636">
        <v>57</v>
      </c>
    </row>
    <row r="733" spans="1:6" ht="12.75">
      <c r="A733" s="637" t="s">
        <v>89</v>
      </c>
      <c r="B733" s="638">
        <v>1137</v>
      </c>
      <c r="C733" s="638">
        <v>194</v>
      </c>
      <c r="D733" s="638">
        <v>322</v>
      </c>
      <c r="E733" s="638">
        <v>9</v>
      </c>
      <c r="F733" s="638">
        <v>103</v>
      </c>
    </row>
    <row r="734" spans="1:6" ht="12.75">
      <c r="A734" s="631" t="s">
        <v>90</v>
      </c>
      <c r="B734" s="636">
        <v>10921</v>
      </c>
      <c r="C734" s="636">
        <v>2299</v>
      </c>
      <c r="D734" s="636">
        <v>2140</v>
      </c>
      <c r="E734" s="636">
        <v>157</v>
      </c>
      <c r="F734" s="636">
        <v>556</v>
      </c>
    </row>
    <row r="735" spans="1:6" ht="12.75">
      <c r="A735" s="637" t="s">
        <v>91</v>
      </c>
      <c r="B735" s="638">
        <v>357</v>
      </c>
      <c r="C735" s="638">
        <v>131</v>
      </c>
      <c r="D735" s="638">
        <v>152</v>
      </c>
      <c r="E735" s="638">
        <v>0</v>
      </c>
      <c r="F735" s="638">
        <v>27</v>
      </c>
    </row>
    <row r="736" spans="1:6" ht="12.75">
      <c r="A736" s="631" t="s">
        <v>92</v>
      </c>
      <c r="B736" s="636">
        <v>356</v>
      </c>
      <c r="C736" s="636">
        <v>43</v>
      </c>
      <c r="D736" s="636">
        <v>134</v>
      </c>
      <c r="E736" s="636">
        <v>8</v>
      </c>
      <c r="F736" s="636">
        <v>31</v>
      </c>
    </row>
    <row r="737" spans="1:6" ht="12.75">
      <c r="A737" s="637" t="s">
        <v>93</v>
      </c>
      <c r="B737" s="638">
        <v>6359</v>
      </c>
      <c r="C737" s="638">
        <v>1125</v>
      </c>
      <c r="D737" s="638">
        <v>1305</v>
      </c>
      <c r="E737" s="638">
        <v>62</v>
      </c>
      <c r="F737" s="638">
        <v>392</v>
      </c>
    </row>
    <row r="738" spans="1:6" ht="12.75">
      <c r="A738" s="631" t="s">
        <v>94</v>
      </c>
      <c r="B738" s="636">
        <v>70</v>
      </c>
      <c r="C738" s="636">
        <v>24</v>
      </c>
      <c r="D738" s="636">
        <v>40</v>
      </c>
      <c r="E738" s="636">
        <v>0</v>
      </c>
      <c r="F738" s="636">
        <v>5</v>
      </c>
    </row>
    <row r="739" spans="1:6" ht="12.75">
      <c r="A739" s="637" t="s">
        <v>95</v>
      </c>
      <c r="B739" s="638">
        <v>1958</v>
      </c>
      <c r="C739" s="638">
        <v>483</v>
      </c>
      <c r="D739" s="638">
        <v>508</v>
      </c>
      <c r="E739" s="638">
        <v>31</v>
      </c>
      <c r="F739" s="638">
        <v>161</v>
      </c>
    </row>
    <row r="740" spans="1:6" ht="12.75">
      <c r="A740" s="631" t="s">
        <v>96</v>
      </c>
      <c r="B740" s="636">
        <v>4390</v>
      </c>
      <c r="C740" s="636">
        <v>605</v>
      </c>
      <c r="D740" s="636">
        <v>870</v>
      </c>
      <c r="E740" s="636">
        <v>12</v>
      </c>
      <c r="F740" s="636">
        <v>178</v>
      </c>
    </row>
    <row r="741" spans="1:6" ht="12.75">
      <c r="A741" s="637" t="s">
        <v>97</v>
      </c>
      <c r="B741" s="638">
        <v>3401</v>
      </c>
      <c r="C741" s="638">
        <v>1065</v>
      </c>
      <c r="D741" s="638">
        <v>603</v>
      </c>
      <c r="E741" s="638">
        <v>6</v>
      </c>
      <c r="F741" s="638">
        <v>84</v>
      </c>
    </row>
    <row r="742" spans="1:6" ht="12.75">
      <c r="A742" s="631" t="s">
        <v>98</v>
      </c>
      <c r="B742" s="636">
        <v>1227</v>
      </c>
      <c r="C742" s="636">
        <v>207</v>
      </c>
      <c r="D742" s="636">
        <v>350</v>
      </c>
      <c r="E742" s="636">
        <v>11</v>
      </c>
      <c r="F742" s="636">
        <v>83</v>
      </c>
    </row>
    <row r="743" spans="1:6" ht="12.75">
      <c r="A743" s="637" t="s">
        <v>99</v>
      </c>
      <c r="B743" s="638">
        <v>13799</v>
      </c>
      <c r="C743" s="638">
        <v>2559</v>
      </c>
      <c r="D743" s="638">
        <v>2728</v>
      </c>
      <c r="E743" s="638">
        <v>119</v>
      </c>
      <c r="F743" s="638">
        <v>610</v>
      </c>
    </row>
    <row r="744" spans="1:6" ht="12.75">
      <c r="A744" s="631" t="s">
        <v>100</v>
      </c>
      <c r="B744" s="636">
        <v>2068</v>
      </c>
      <c r="C744" s="636">
        <v>293</v>
      </c>
      <c r="D744" s="636">
        <v>811</v>
      </c>
      <c r="E744" s="636">
        <v>7</v>
      </c>
      <c r="F744" s="636">
        <v>108</v>
      </c>
    </row>
    <row r="745" spans="1:6" ht="12.75">
      <c r="A745" s="637" t="s">
        <v>101</v>
      </c>
      <c r="B745" s="638">
        <v>126</v>
      </c>
      <c r="C745" s="638">
        <v>29</v>
      </c>
      <c r="D745" s="638">
        <v>81</v>
      </c>
      <c r="E745" s="638">
        <v>4</v>
      </c>
      <c r="F745" s="638">
        <v>19</v>
      </c>
    </row>
    <row r="746" spans="1:6" ht="12.75">
      <c r="A746" s="631" t="s">
        <v>102</v>
      </c>
      <c r="B746" s="636">
        <v>4004</v>
      </c>
      <c r="C746" s="636">
        <v>994</v>
      </c>
      <c r="D746" s="636">
        <v>741</v>
      </c>
      <c r="E746" s="636">
        <v>34</v>
      </c>
      <c r="F746" s="636">
        <v>162</v>
      </c>
    </row>
    <row r="747" spans="1:6" ht="12.75">
      <c r="A747" s="637" t="s">
        <v>103</v>
      </c>
      <c r="B747" s="638">
        <v>6681</v>
      </c>
      <c r="C747" s="638">
        <v>1091</v>
      </c>
      <c r="D747" s="638">
        <v>1588</v>
      </c>
      <c r="E747" s="638">
        <v>113</v>
      </c>
      <c r="F747" s="638">
        <v>378</v>
      </c>
    </row>
    <row r="748" spans="1:6" ht="12.75">
      <c r="A748" s="631" t="s">
        <v>104</v>
      </c>
      <c r="B748" s="636">
        <v>38382</v>
      </c>
      <c r="C748" s="636">
        <v>8966</v>
      </c>
      <c r="D748" s="636">
        <v>5947</v>
      </c>
      <c r="E748" s="636">
        <v>173</v>
      </c>
      <c r="F748" s="636">
        <v>733</v>
      </c>
    </row>
    <row r="749" spans="1:6" ht="12.75">
      <c r="A749" s="637" t="s">
        <v>105</v>
      </c>
      <c r="B749" s="638">
        <v>1668</v>
      </c>
      <c r="C749" s="638">
        <v>264</v>
      </c>
      <c r="D749" s="638">
        <v>573</v>
      </c>
      <c r="E749" s="638">
        <v>23</v>
      </c>
      <c r="F749" s="638">
        <v>205</v>
      </c>
    </row>
    <row r="750" spans="1:6" ht="12.75">
      <c r="A750" s="631" t="s">
        <v>106</v>
      </c>
      <c r="B750" s="636">
        <v>3090</v>
      </c>
      <c r="C750" s="636">
        <v>880</v>
      </c>
      <c r="D750" s="636">
        <v>929</v>
      </c>
      <c r="E750" s="636">
        <v>14</v>
      </c>
      <c r="F750" s="636">
        <v>193</v>
      </c>
    </row>
    <row r="751" spans="1:6" ht="12.75">
      <c r="A751" s="637" t="s">
        <v>107</v>
      </c>
      <c r="B751" s="638">
        <v>1443</v>
      </c>
      <c r="C751" s="638">
        <v>275</v>
      </c>
      <c r="D751" s="638">
        <v>430</v>
      </c>
      <c r="E751" s="638">
        <v>17</v>
      </c>
      <c r="F751" s="638">
        <v>141</v>
      </c>
    </row>
    <row r="752" spans="1:6" ht="12.75">
      <c r="A752" s="631" t="s">
        <v>108</v>
      </c>
      <c r="B752" s="636">
        <v>706</v>
      </c>
      <c r="C752" s="636">
        <v>127</v>
      </c>
      <c r="D752" s="636">
        <v>196</v>
      </c>
      <c r="E752" s="636">
        <v>1</v>
      </c>
      <c r="F752" s="636">
        <v>44</v>
      </c>
    </row>
    <row r="753" spans="1:6" ht="12.75">
      <c r="A753" s="637" t="s">
        <v>109</v>
      </c>
      <c r="B753" s="638">
        <v>4333</v>
      </c>
      <c r="C753" s="638">
        <v>920</v>
      </c>
      <c r="D753" s="638">
        <v>1086</v>
      </c>
      <c r="E753" s="638">
        <v>40</v>
      </c>
      <c r="F753" s="638">
        <v>243</v>
      </c>
    </row>
    <row r="754" spans="1:6" ht="12.75">
      <c r="A754" s="631" t="s">
        <v>110</v>
      </c>
      <c r="B754" s="636">
        <v>230</v>
      </c>
      <c r="C754" s="636">
        <v>53</v>
      </c>
      <c r="D754" s="636">
        <v>66</v>
      </c>
      <c r="E754" s="636">
        <v>2</v>
      </c>
      <c r="F754" s="636">
        <v>28</v>
      </c>
    </row>
    <row r="755" spans="1:6" ht="12.75">
      <c r="A755" s="637" t="s">
        <v>111</v>
      </c>
      <c r="B755" s="638">
        <v>439</v>
      </c>
      <c r="C755" s="638">
        <v>48</v>
      </c>
      <c r="D755" s="638">
        <v>190</v>
      </c>
      <c r="E755" s="638">
        <v>19</v>
      </c>
      <c r="F755" s="638">
        <v>64</v>
      </c>
    </row>
    <row r="756" spans="1:6" ht="12.75">
      <c r="A756" s="631" t="s">
        <v>112</v>
      </c>
      <c r="B756" s="636">
        <v>5225</v>
      </c>
      <c r="C756" s="636">
        <v>866</v>
      </c>
      <c r="D756" s="636">
        <v>984</v>
      </c>
      <c r="E756" s="636">
        <v>36</v>
      </c>
      <c r="F756" s="636">
        <v>221</v>
      </c>
    </row>
    <row r="757" spans="1:6" ht="12.75">
      <c r="A757" s="637" t="s">
        <v>113</v>
      </c>
      <c r="B757" s="638">
        <v>3955</v>
      </c>
      <c r="C757" s="638">
        <v>620</v>
      </c>
      <c r="D757" s="638">
        <v>913</v>
      </c>
      <c r="E757" s="638">
        <v>63</v>
      </c>
      <c r="F757" s="638">
        <v>202</v>
      </c>
    </row>
    <row r="758" spans="1:6" ht="12.75">
      <c r="A758" s="631" t="s">
        <v>114</v>
      </c>
      <c r="B758" s="636">
        <v>605</v>
      </c>
      <c r="C758" s="636">
        <v>106</v>
      </c>
      <c r="D758" s="636">
        <v>197</v>
      </c>
      <c r="E758" s="636">
        <v>3</v>
      </c>
      <c r="F758" s="636">
        <v>36</v>
      </c>
    </row>
    <row r="759" spans="1:6" ht="12.75">
      <c r="A759" s="637" t="s">
        <v>115</v>
      </c>
      <c r="B759" s="638">
        <v>108</v>
      </c>
      <c r="C759" s="638">
        <v>26</v>
      </c>
      <c r="D759" s="638">
        <v>60</v>
      </c>
      <c r="E759" s="638">
        <v>0</v>
      </c>
      <c r="F759" s="638">
        <v>21</v>
      </c>
    </row>
    <row r="760" spans="1:6" ht="12.75">
      <c r="A760" s="631" t="s">
        <v>116</v>
      </c>
      <c r="B760" s="636">
        <v>435</v>
      </c>
      <c r="C760" s="636">
        <v>145</v>
      </c>
      <c r="D760" s="636">
        <v>109</v>
      </c>
      <c r="E760" s="636">
        <v>3</v>
      </c>
      <c r="F760" s="636">
        <v>30</v>
      </c>
    </row>
    <row r="761" spans="1:6" ht="12.75">
      <c r="A761" s="637" t="s">
        <v>117</v>
      </c>
      <c r="B761" s="638">
        <v>116</v>
      </c>
      <c r="C761" s="638">
        <v>30</v>
      </c>
      <c r="D761" s="638">
        <v>85</v>
      </c>
      <c r="E761" s="638">
        <v>2</v>
      </c>
      <c r="F761" s="638">
        <v>10</v>
      </c>
    </row>
    <row r="762" spans="1:6" ht="12.75">
      <c r="A762" s="631" t="s">
        <v>118</v>
      </c>
      <c r="B762" s="636">
        <v>113</v>
      </c>
      <c r="C762" s="636">
        <v>28</v>
      </c>
      <c r="D762" s="636">
        <v>88</v>
      </c>
      <c r="E762" s="636">
        <v>15</v>
      </c>
      <c r="F762" s="636">
        <v>37</v>
      </c>
    </row>
    <row r="763" spans="1:6" ht="12.75">
      <c r="A763" s="637" t="s">
        <v>119</v>
      </c>
      <c r="B763" s="638">
        <v>5046</v>
      </c>
      <c r="C763" s="638">
        <v>911</v>
      </c>
      <c r="D763" s="638">
        <v>1136</v>
      </c>
      <c r="E763" s="638">
        <v>21</v>
      </c>
      <c r="F763" s="638">
        <v>177</v>
      </c>
    </row>
    <row r="764" spans="1:6" ht="12.75">
      <c r="A764" s="631" t="s">
        <v>120</v>
      </c>
      <c r="B764" s="636">
        <v>2035</v>
      </c>
      <c r="C764" s="636">
        <v>411</v>
      </c>
      <c r="D764" s="636">
        <v>485</v>
      </c>
      <c r="E764" s="636">
        <v>14</v>
      </c>
      <c r="F764" s="636">
        <v>123</v>
      </c>
    </row>
    <row r="765" spans="1:6" ht="12.75">
      <c r="A765" s="637" t="s">
        <v>121</v>
      </c>
      <c r="B765" s="638">
        <v>1020</v>
      </c>
      <c r="C765" s="638">
        <v>217</v>
      </c>
      <c r="D765" s="638">
        <v>391</v>
      </c>
      <c r="E765" s="638">
        <v>3</v>
      </c>
      <c r="F765" s="638">
        <v>76</v>
      </c>
    </row>
    <row r="766" spans="1:6" ht="12.75">
      <c r="A766" s="631" t="s">
        <v>122</v>
      </c>
      <c r="B766" s="636">
        <v>13926</v>
      </c>
      <c r="C766" s="636">
        <v>2344</v>
      </c>
      <c r="D766" s="636">
        <v>2948</v>
      </c>
      <c r="E766" s="636">
        <v>221</v>
      </c>
      <c r="F766" s="636">
        <v>894</v>
      </c>
    </row>
    <row r="767" spans="1:6" ht="12.75">
      <c r="A767" s="637" t="s">
        <v>123</v>
      </c>
      <c r="B767" s="638">
        <v>1810</v>
      </c>
      <c r="C767" s="638">
        <v>495</v>
      </c>
      <c r="D767" s="638">
        <v>425</v>
      </c>
      <c r="E767" s="638">
        <v>7</v>
      </c>
      <c r="F767" s="638">
        <v>73</v>
      </c>
    </row>
    <row r="768" spans="1:6" ht="12.75">
      <c r="A768" s="631" t="s">
        <v>124</v>
      </c>
      <c r="B768" s="636">
        <v>4107</v>
      </c>
      <c r="C768" s="636">
        <v>789</v>
      </c>
      <c r="D768" s="636">
        <v>975</v>
      </c>
      <c r="E768" s="636">
        <v>14</v>
      </c>
      <c r="F768" s="636">
        <v>289</v>
      </c>
    </row>
    <row r="769" spans="1:6" ht="12.75">
      <c r="A769" s="637" t="s">
        <v>125</v>
      </c>
      <c r="B769" s="638">
        <v>927</v>
      </c>
      <c r="C769" s="638">
        <v>156</v>
      </c>
      <c r="D769" s="638">
        <v>269</v>
      </c>
      <c r="E769" s="638">
        <v>5</v>
      </c>
      <c r="F769" s="638">
        <v>71</v>
      </c>
    </row>
    <row r="770" spans="1:6" ht="12.75">
      <c r="A770" s="631" t="s">
        <v>126</v>
      </c>
      <c r="B770" s="636">
        <v>2922</v>
      </c>
      <c r="C770" s="636">
        <v>759</v>
      </c>
      <c r="D770" s="636">
        <v>666</v>
      </c>
      <c r="E770" s="636">
        <v>20</v>
      </c>
      <c r="F770" s="636">
        <v>135</v>
      </c>
    </row>
    <row r="771" spans="1:6" ht="12.75">
      <c r="A771" s="637" t="s">
        <v>127</v>
      </c>
      <c r="B771" s="638">
        <v>120</v>
      </c>
      <c r="C771" s="638">
        <v>22</v>
      </c>
      <c r="D771" s="638">
        <v>70</v>
      </c>
      <c r="E771" s="638">
        <v>0</v>
      </c>
      <c r="F771" s="638">
        <v>18</v>
      </c>
    </row>
    <row r="772" spans="1:6" ht="12.75">
      <c r="A772" s="631" t="s">
        <v>128</v>
      </c>
      <c r="B772" s="636">
        <v>211</v>
      </c>
      <c r="C772" s="636">
        <v>21</v>
      </c>
      <c r="D772" s="636">
        <v>88</v>
      </c>
      <c r="E772" s="636">
        <v>1</v>
      </c>
      <c r="F772" s="636">
        <v>21</v>
      </c>
    </row>
    <row r="773" spans="1:6" ht="12.75">
      <c r="A773" s="637" t="s">
        <v>129</v>
      </c>
      <c r="B773" s="638">
        <v>539</v>
      </c>
      <c r="C773" s="638">
        <v>124</v>
      </c>
      <c r="D773" s="638">
        <v>139</v>
      </c>
      <c r="E773" s="638">
        <v>0</v>
      </c>
      <c r="F773" s="638">
        <v>19</v>
      </c>
    </row>
    <row r="774" spans="1:6" ht="12.75">
      <c r="A774" s="631" t="s">
        <v>130</v>
      </c>
      <c r="B774" s="636">
        <v>53</v>
      </c>
      <c r="C774" s="636">
        <v>11</v>
      </c>
      <c r="D774" s="636">
        <v>13</v>
      </c>
      <c r="E774" s="636">
        <v>0</v>
      </c>
      <c r="F774" s="636">
        <v>5</v>
      </c>
    </row>
    <row r="775" spans="1:6" ht="12.75">
      <c r="A775" s="637" t="s">
        <v>1274</v>
      </c>
      <c r="B775" s="638">
        <v>978</v>
      </c>
      <c r="C775" s="638">
        <v>314</v>
      </c>
      <c r="D775" s="638">
        <v>204</v>
      </c>
      <c r="E775" s="638">
        <v>3</v>
      </c>
      <c r="F775" s="638">
        <v>44</v>
      </c>
    </row>
    <row r="776" spans="1:6" ht="12.75">
      <c r="A776" s="631" t="s">
        <v>1275</v>
      </c>
      <c r="B776" s="636">
        <v>123</v>
      </c>
      <c r="C776" s="636">
        <v>96</v>
      </c>
      <c r="D776" s="636">
        <v>59</v>
      </c>
      <c r="E776" s="636">
        <v>0</v>
      </c>
      <c r="F776" s="636">
        <v>7</v>
      </c>
    </row>
    <row r="777" spans="1:6" ht="12.75">
      <c r="A777" s="637" t="s">
        <v>1276</v>
      </c>
      <c r="B777" s="638">
        <v>3007</v>
      </c>
      <c r="C777" s="638">
        <v>735</v>
      </c>
      <c r="D777" s="638">
        <v>1000</v>
      </c>
      <c r="E777" s="638">
        <v>41</v>
      </c>
      <c r="F777" s="638">
        <v>322</v>
      </c>
    </row>
    <row r="778" spans="1:6" ht="12.75">
      <c r="A778" s="631" t="s">
        <v>131</v>
      </c>
      <c r="B778" s="636">
        <v>37</v>
      </c>
      <c r="C778" s="636">
        <v>5</v>
      </c>
      <c r="D778" s="636">
        <v>9</v>
      </c>
      <c r="E778" s="636">
        <v>0</v>
      </c>
      <c r="F778" s="636">
        <v>1</v>
      </c>
    </row>
    <row r="779" spans="1:6" ht="12.75">
      <c r="A779" s="637" t="s">
        <v>1277</v>
      </c>
      <c r="B779" s="638">
        <v>3019</v>
      </c>
      <c r="C779" s="638">
        <v>401</v>
      </c>
      <c r="D779" s="638">
        <v>1213</v>
      </c>
      <c r="E779" s="638">
        <v>8</v>
      </c>
      <c r="F779" s="638">
        <v>129</v>
      </c>
    </row>
    <row r="780" spans="1:6" ht="12.75">
      <c r="A780" s="631" t="s">
        <v>132</v>
      </c>
      <c r="B780" s="636">
        <v>76</v>
      </c>
      <c r="C780" s="636">
        <v>14</v>
      </c>
      <c r="D780" s="636">
        <v>44</v>
      </c>
      <c r="E780" s="636">
        <v>1</v>
      </c>
      <c r="F780" s="636">
        <v>9</v>
      </c>
    </row>
    <row r="781" spans="1:6" ht="12.75">
      <c r="A781" s="637" t="s">
        <v>1278</v>
      </c>
      <c r="B781" s="638">
        <v>315</v>
      </c>
      <c r="C781" s="638">
        <v>46</v>
      </c>
      <c r="D781" s="638">
        <v>120</v>
      </c>
      <c r="E781" s="638">
        <v>4</v>
      </c>
      <c r="F781" s="638">
        <v>20</v>
      </c>
    </row>
    <row r="782" spans="1:6" ht="12.75">
      <c r="A782" s="631" t="s">
        <v>133</v>
      </c>
      <c r="B782" s="631">
        <v>4834</v>
      </c>
      <c r="C782" s="631">
        <v>900</v>
      </c>
      <c r="D782" s="631">
        <v>1400</v>
      </c>
      <c r="E782" s="631">
        <v>22</v>
      </c>
      <c r="F782" s="631">
        <v>339</v>
      </c>
    </row>
    <row r="783" spans="1:6" ht="12.75">
      <c r="A783" s="637" t="s">
        <v>134</v>
      </c>
      <c r="B783" s="638">
        <v>680</v>
      </c>
      <c r="C783" s="638">
        <v>123</v>
      </c>
      <c r="D783" s="638">
        <v>224</v>
      </c>
      <c r="E783" s="638">
        <v>9</v>
      </c>
      <c r="F783" s="638">
        <v>29</v>
      </c>
    </row>
    <row r="784" spans="1:6" ht="12.75">
      <c r="A784" s="631" t="s">
        <v>135</v>
      </c>
      <c r="B784" s="636">
        <v>1024</v>
      </c>
      <c r="C784" s="636">
        <v>168</v>
      </c>
      <c r="D784" s="636">
        <v>398</v>
      </c>
      <c r="E784" s="636">
        <v>10</v>
      </c>
      <c r="F784" s="636">
        <v>155</v>
      </c>
    </row>
    <row r="785" spans="1:6" ht="12.75">
      <c r="A785" s="637" t="s">
        <v>136</v>
      </c>
      <c r="B785" s="638">
        <v>166</v>
      </c>
      <c r="C785" s="638">
        <v>26</v>
      </c>
      <c r="D785" s="638">
        <v>94</v>
      </c>
      <c r="E785" s="638">
        <v>0</v>
      </c>
      <c r="F785" s="638">
        <v>26</v>
      </c>
    </row>
    <row r="786" spans="1:6" ht="12.75">
      <c r="A786" s="631" t="s">
        <v>137</v>
      </c>
      <c r="B786" s="636">
        <v>103</v>
      </c>
      <c r="C786" s="636">
        <v>43</v>
      </c>
      <c r="D786" s="636">
        <v>81</v>
      </c>
      <c r="E786" s="636">
        <v>1</v>
      </c>
      <c r="F786" s="636">
        <v>15</v>
      </c>
    </row>
    <row r="787" spans="1:6" ht="12.75">
      <c r="A787" s="637" t="s">
        <v>1279</v>
      </c>
      <c r="B787" s="638">
        <v>6449</v>
      </c>
      <c r="C787" s="638">
        <v>782</v>
      </c>
      <c r="D787" s="638">
        <v>1550</v>
      </c>
      <c r="E787" s="638">
        <v>37</v>
      </c>
      <c r="F787" s="638">
        <v>254</v>
      </c>
    </row>
    <row r="788" spans="1:6" ht="12.75">
      <c r="A788" s="631" t="s">
        <v>138</v>
      </c>
      <c r="B788" s="636">
        <v>1970</v>
      </c>
      <c r="C788" s="636">
        <v>373</v>
      </c>
      <c r="D788" s="636">
        <v>623</v>
      </c>
      <c r="E788" s="636">
        <v>23</v>
      </c>
      <c r="F788" s="636">
        <v>152</v>
      </c>
    </row>
    <row r="789" spans="1:6" ht="12.75">
      <c r="A789" s="637" t="s">
        <v>139</v>
      </c>
      <c r="B789" s="638">
        <v>491</v>
      </c>
      <c r="C789" s="638">
        <v>64</v>
      </c>
      <c r="D789" s="638">
        <v>164</v>
      </c>
      <c r="E789" s="638">
        <v>8</v>
      </c>
      <c r="F789" s="638">
        <v>54</v>
      </c>
    </row>
    <row r="790" spans="1:6" ht="12.75">
      <c r="A790" s="631" t="s">
        <v>140</v>
      </c>
      <c r="B790" s="636">
        <v>3452</v>
      </c>
      <c r="C790" s="636">
        <v>500</v>
      </c>
      <c r="D790" s="636">
        <v>795</v>
      </c>
      <c r="E790" s="636">
        <v>55</v>
      </c>
      <c r="F790" s="636">
        <v>175</v>
      </c>
    </row>
    <row r="791" spans="1:6" ht="12.75">
      <c r="A791" s="637" t="s">
        <v>398</v>
      </c>
      <c r="B791" s="638">
        <v>11970</v>
      </c>
      <c r="C791" s="638">
        <v>4878</v>
      </c>
      <c r="D791" s="638">
        <v>2048</v>
      </c>
      <c r="E791" s="638">
        <v>39</v>
      </c>
      <c r="F791" s="638">
        <v>252</v>
      </c>
    </row>
    <row r="792" spans="1:6" ht="12.75">
      <c r="A792" s="631" t="s">
        <v>141</v>
      </c>
      <c r="B792" s="636">
        <v>131</v>
      </c>
      <c r="C792" s="636">
        <v>20</v>
      </c>
      <c r="D792" s="636">
        <v>77</v>
      </c>
      <c r="E792" s="636">
        <v>1</v>
      </c>
      <c r="F792" s="636">
        <v>10</v>
      </c>
    </row>
    <row r="793" spans="1:6" ht="12.75">
      <c r="A793" s="637" t="s">
        <v>142</v>
      </c>
      <c r="B793" s="638">
        <v>62</v>
      </c>
      <c r="C793" s="638">
        <v>10</v>
      </c>
      <c r="D793" s="638">
        <v>20</v>
      </c>
      <c r="E793" s="638">
        <v>0</v>
      </c>
      <c r="F793" s="638">
        <v>6</v>
      </c>
    </row>
    <row r="794" spans="1:6" ht="12.75">
      <c r="A794" s="631" t="s">
        <v>1280</v>
      </c>
      <c r="B794" s="636">
        <v>223</v>
      </c>
      <c r="C794" s="636">
        <v>23</v>
      </c>
      <c r="D794" s="636">
        <v>86</v>
      </c>
      <c r="E794" s="636">
        <v>1</v>
      </c>
      <c r="F794" s="636">
        <v>30</v>
      </c>
    </row>
    <row r="795" spans="1:6" ht="12.75">
      <c r="A795" s="637" t="s">
        <v>143</v>
      </c>
      <c r="B795" s="638">
        <v>417</v>
      </c>
      <c r="C795" s="638">
        <v>59</v>
      </c>
      <c r="D795" s="638">
        <v>110</v>
      </c>
      <c r="E795" s="638">
        <v>0</v>
      </c>
      <c r="F795" s="638">
        <v>37</v>
      </c>
    </row>
    <row r="796" spans="1:6" ht="12.75">
      <c r="A796" s="631" t="s">
        <v>144</v>
      </c>
      <c r="B796" s="636">
        <v>4926</v>
      </c>
      <c r="C796" s="636">
        <v>693</v>
      </c>
      <c r="D796" s="636">
        <v>1460</v>
      </c>
      <c r="E796" s="636">
        <v>93</v>
      </c>
      <c r="F796" s="636">
        <v>339</v>
      </c>
    </row>
    <row r="797" spans="1:6" ht="12.75">
      <c r="A797" s="637" t="s">
        <v>145</v>
      </c>
      <c r="B797" s="638">
        <v>133</v>
      </c>
      <c r="C797" s="638">
        <v>36</v>
      </c>
      <c r="D797" s="638">
        <v>81</v>
      </c>
      <c r="E797" s="638">
        <v>0</v>
      </c>
      <c r="F797" s="638">
        <v>27</v>
      </c>
    </row>
    <row r="798" spans="1:6" ht="12.75">
      <c r="A798" s="631" t="s">
        <v>146</v>
      </c>
      <c r="B798" s="636">
        <v>205</v>
      </c>
      <c r="C798" s="636">
        <v>31</v>
      </c>
      <c r="D798" s="636">
        <v>125</v>
      </c>
      <c r="E798" s="636">
        <v>1</v>
      </c>
      <c r="F798" s="636">
        <v>40</v>
      </c>
    </row>
    <row r="799" spans="1:6" ht="12.75">
      <c r="A799" s="637" t="s">
        <v>147</v>
      </c>
      <c r="B799" s="638">
        <v>1092</v>
      </c>
      <c r="C799" s="638">
        <v>160</v>
      </c>
      <c r="D799" s="638">
        <v>534</v>
      </c>
      <c r="E799" s="638">
        <v>5</v>
      </c>
      <c r="F799" s="638">
        <v>148</v>
      </c>
    </row>
    <row r="800" spans="1:6" ht="12.75">
      <c r="A800" s="631" t="s">
        <v>148</v>
      </c>
      <c r="B800" s="636">
        <v>1022</v>
      </c>
      <c r="C800" s="636">
        <v>141</v>
      </c>
      <c r="D800" s="636">
        <v>417</v>
      </c>
      <c r="E800" s="636">
        <v>29</v>
      </c>
      <c r="F800" s="636">
        <v>151</v>
      </c>
    </row>
    <row r="801" spans="1:6" ht="12.75">
      <c r="A801" s="637" t="s">
        <v>149</v>
      </c>
      <c r="B801" s="638">
        <v>1825</v>
      </c>
      <c r="C801" s="638">
        <v>365</v>
      </c>
      <c r="D801" s="638">
        <v>594</v>
      </c>
      <c r="E801" s="638">
        <v>31</v>
      </c>
      <c r="F801" s="638">
        <v>189</v>
      </c>
    </row>
    <row r="802" spans="1:6" ht="12.75">
      <c r="A802" s="631" t="s">
        <v>150</v>
      </c>
      <c r="B802" s="636">
        <v>476</v>
      </c>
      <c r="C802" s="636">
        <v>109</v>
      </c>
      <c r="D802" s="636">
        <v>143</v>
      </c>
      <c r="E802" s="636">
        <v>4</v>
      </c>
      <c r="F802" s="636">
        <v>42</v>
      </c>
    </row>
    <row r="803" spans="1:6" ht="12.75">
      <c r="A803" s="637" t="s">
        <v>151</v>
      </c>
      <c r="B803" s="638">
        <v>197</v>
      </c>
      <c r="C803" s="638">
        <v>24</v>
      </c>
      <c r="D803" s="638">
        <v>70</v>
      </c>
      <c r="E803" s="638">
        <v>3</v>
      </c>
      <c r="F803" s="638">
        <v>21</v>
      </c>
    </row>
    <row r="804" spans="1:6" ht="12.75">
      <c r="A804" s="631" t="s">
        <v>152</v>
      </c>
      <c r="B804" s="636">
        <v>3215</v>
      </c>
      <c r="C804" s="636">
        <v>427</v>
      </c>
      <c r="D804" s="636">
        <v>681</v>
      </c>
      <c r="E804" s="636">
        <v>22</v>
      </c>
      <c r="F804" s="636">
        <v>154</v>
      </c>
    </row>
    <row r="805" spans="1:6" ht="12.75">
      <c r="A805" s="637" t="s">
        <v>153</v>
      </c>
      <c r="B805" s="638">
        <v>66</v>
      </c>
      <c r="C805" s="638">
        <v>13</v>
      </c>
      <c r="D805" s="638">
        <v>37</v>
      </c>
      <c r="E805" s="638">
        <v>0</v>
      </c>
      <c r="F805" s="638">
        <v>3</v>
      </c>
    </row>
    <row r="806" spans="1:6" ht="12.75">
      <c r="A806" s="631" t="s">
        <v>154</v>
      </c>
      <c r="B806" s="631">
        <v>181</v>
      </c>
      <c r="C806" s="631">
        <v>27</v>
      </c>
      <c r="D806" s="631">
        <v>94</v>
      </c>
      <c r="E806" s="631">
        <v>0</v>
      </c>
      <c r="F806" s="631">
        <v>17</v>
      </c>
    </row>
    <row r="807" spans="1:6" ht="12.75">
      <c r="A807" s="637" t="s">
        <v>155</v>
      </c>
      <c r="B807" s="638">
        <v>751</v>
      </c>
      <c r="C807" s="638">
        <v>20</v>
      </c>
      <c r="D807" s="638">
        <v>59</v>
      </c>
      <c r="E807" s="638">
        <v>1</v>
      </c>
      <c r="F807" s="638">
        <v>7</v>
      </c>
    </row>
    <row r="808" spans="1:6" ht="12.75">
      <c r="A808" s="631" t="s">
        <v>156</v>
      </c>
      <c r="B808" s="636">
        <v>245</v>
      </c>
      <c r="C808" s="636">
        <v>32</v>
      </c>
      <c r="D808" s="636">
        <v>64</v>
      </c>
      <c r="E808" s="636">
        <v>2</v>
      </c>
      <c r="F808" s="636">
        <v>17</v>
      </c>
    </row>
    <row r="809" spans="1:6" ht="12.75">
      <c r="A809" s="637" t="s">
        <v>157</v>
      </c>
      <c r="B809" s="638">
        <v>224</v>
      </c>
      <c r="C809" s="638">
        <v>40</v>
      </c>
      <c r="D809" s="638">
        <v>83</v>
      </c>
      <c r="E809" s="638">
        <v>0</v>
      </c>
      <c r="F809" s="638">
        <v>15</v>
      </c>
    </row>
    <row r="810" spans="1:6" ht="12.75">
      <c r="A810" s="631" t="s">
        <v>1281</v>
      </c>
      <c r="B810" s="636">
        <v>283</v>
      </c>
      <c r="C810" s="636">
        <v>48</v>
      </c>
      <c r="D810" s="636">
        <v>203</v>
      </c>
      <c r="E810" s="636">
        <v>14</v>
      </c>
      <c r="F810" s="636">
        <v>66</v>
      </c>
    </row>
    <row r="811" spans="1:6" ht="12.75">
      <c r="A811" s="637" t="s">
        <v>158</v>
      </c>
      <c r="B811" s="638">
        <v>3554</v>
      </c>
      <c r="C811" s="638">
        <v>719</v>
      </c>
      <c r="D811" s="638">
        <v>1023</v>
      </c>
      <c r="E811" s="638">
        <v>20</v>
      </c>
      <c r="F811" s="638">
        <v>266</v>
      </c>
    </row>
    <row r="812" spans="1:6" ht="12.75">
      <c r="A812" s="631" t="s">
        <v>976</v>
      </c>
      <c r="B812" s="636">
        <v>62550</v>
      </c>
      <c r="C812" s="636">
        <v>12627</v>
      </c>
      <c r="D812" s="636">
        <v>10151</v>
      </c>
      <c r="E812" s="636">
        <v>352</v>
      </c>
      <c r="F812" s="636">
        <v>2002</v>
      </c>
    </row>
    <row r="813" spans="1:6" ht="12.75">
      <c r="A813" s="637" t="s">
        <v>159</v>
      </c>
      <c r="B813" s="638">
        <v>8375</v>
      </c>
      <c r="C813" s="638">
        <v>919</v>
      </c>
      <c r="D813" s="638">
        <v>1996</v>
      </c>
      <c r="E813" s="638">
        <v>115</v>
      </c>
      <c r="F813" s="638">
        <v>435</v>
      </c>
    </row>
    <row r="814" spans="1:6" ht="12.75">
      <c r="A814" s="631" t="s">
        <v>160</v>
      </c>
      <c r="B814" s="636">
        <v>48</v>
      </c>
      <c r="C814" s="636">
        <v>9</v>
      </c>
      <c r="D814" s="636">
        <v>12</v>
      </c>
      <c r="E814" s="636">
        <v>0</v>
      </c>
      <c r="F814" s="636">
        <v>2</v>
      </c>
    </row>
    <row r="815" spans="1:6" ht="12.75">
      <c r="A815" s="637" t="s">
        <v>161</v>
      </c>
      <c r="B815" s="638">
        <v>123</v>
      </c>
      <c r="C815" s="638">
        <v>21</v>
      </c>
      <c r="D815" s="638">
        <v>31</v>
      </c>
      <c r="E815" s="638">
        <v>1</v>
      </c>
      <c r="F815" s="638">
        <v>3</v>
      </c>
    </row>
    <row r="816" spans="1:6" ht="12.75">
      <c r="A816" s="631" t="s">
        <v>162</v>
      </c>
      <c r="B816" s="636">
        <v>214</v>
      </c>
      <c r="C816" s="636">
        <v>74</v>
      </c>
      <c r="D816" s="636">
        <v>112</v>
      </c>
      <c r="E816" s="636">
        <v>0</v>
      </c>
      <c r="F816" s="636">
        <v>24</v>
      </c>
    </row>
    <row r="817" spans="1:6" ht="12.75">
      <c r="A817" s="637" t="s">
        <v>163</v>
      </c>
      <c r="B817" s="638">
        <v>92</v>
      </c>
      <c r="C817" s="638">
        <v>44</v>
      </c>
      <c r="D817" s="638">
        <v>63</v>
      </c>
      <c r="E817" s="638">
        <v>0</v>
      </c>
      <c r="F817" s="638">
        <v>11</v>
      </c>
    </row>
    <row r="818" spans="1:6" ht="12.75">
      <c r="A818" s="631" t="s">
        <v>164</v>
      </c>
      <c r="B818" s="636">
        <v>3466</v>
      </c>
      <c r="C818" s="636">
        <v>1221</v>
      </c>
      <c r="D818" s="636">
        <v>654</v>
      </c>
      <c r="E818" s="636">
        <v>3</v>
      </c>
      <c r="F818" s="636">
        <v>95</v>
      </c>
    </row>
    <row r="819" spans="1:6" ht="12.75">
      <c r="A819" s="637" t="s">
        <v>165</v>
      </c>
      <c r="B819" s="638">
        <v>864</v>
      </c>
      <c r="C819" s="638">
        <v>97</v>
      </c>
      <c r="D819" s="638">
        <v>309</v>
      </c>
      <c r="E819" s="638">
        <v>38</v>
      </c>
      <c r="F819" s="638">
        <v>80</v>
      </c>
    </row>
    <row r="820" spans="1:6" ht="12.75">
      <c r="A820" s="631" t="s">
        <v>166</v>
      </c>
      <c r="B820" s="636">
        <v>166</v>
      </c>
      <c r="C820" s="636">
        <v>37</v>
      </c>
      <c r="D820" s="636">
        <v>85</v>
      </c>
      <c r="E820" s="636">
        <v>0</v>
      </c>
      <c r="F820" s="636">
        <v>8</v>
      </c>
    </row>
    <row r="821" spans="1:6" ht="12.75">
      <c r="A821" s="637" t="s">
        <v>167</v>
      </c>
      <c r="B821" s="638">
        <v>101174</v>
      </c>
      <c r="C821" s="638">
        <v>17467</v>
      </c>
      <c r="D821" s="638">
        <v>18627</v>
      </c>
      <c r="E821" s="638">
        <v>536</v>
      </c>
      <c r="F821" s="638">
        <v>3847</v>
      </c>
    </row>
    <row r="822" spans="1:6" ht="12.75">
      <c r="A822" s="631" t="s">
        <v>168</v>
      </c>
      <c r="B822" s="636">
        <v>4386</v>
      </c>
      <c r="C822" s="636">
        <v>1454</v>
      </c>
      <c r="D822" s="636">
        <v>741</v>
      </c>
      <c r="E822" s="636">
        <v>6</v>
      </c>
      <c r="F822" s="636">
        <v>116</v>
      </c>
    </row>
    <row r="823" spans="1:6" ht="12.75">
      <c r="A823" s="637" t="s">
        <v>169</v>
      </c>
      <c r="B823" s="638">
        <v>82</v>
      </c>
      <c r="C823" s="638">
        <v>6</v>
      </c>
      <c r="D823" s="638">
        <v>20</v>
      </c>
      <c r="E823" s="638">
        <v>0</v>
      </c>
      <c r="F823" s="638">
        <v>8</v>
      </c>
    </row>
    <row r="824" spans="1:6" ht="12.75">
      <c r="A824" s="631" t="s">
        <v>170</v>
      </c>
      <c r="B824" s="636">
        <v>51</v>
      </c>
      <c r="C824" s="636">
        <v>10</v>
      </c>
      <c r="D824" s="636">
        <v>14</v>
      </c>
      <c r="E824" s="636">
        <v>0</v>
      </c>
      <c r="F824" s="636">
        <v>4</v>
      </c>
    </row>
    <row r="825" spans="1:6" ht="12.75">
      <c r="A825" s="637" t="s">
        <v>171</v>
      </c>
      <c r="B825" s="638">
        <v>437</v>
      </c>
      <c r="C825" s="638">
        <v>107</v>
      </c>
      <c r="D825" s="638">
        <v>266</v>
      </c>
      <c r="E825" s="638">
        <v>12</v>
      </c>
      <c r="F825" s="638">
        <v>55</v>
      </c>
    </row>
    <row r="826" spans="1:6" ht="12.75">
      <c r="A826" s="631" t="s">
        <v>172</v>
      </c>
      <c r="B826" s="636">
        <v>901</v>
      </c>
      <c r="C826" s="636">
        <v>170</v>
      </c>
      <c r="D826" s="636">
        <v>405</v>
      </c>
      <c r="E826" s="636">
        <v>5</v>
      </c>
      <c r="F826" s="636">
        <v>67</v>
      </c>
    </row>
    <row r="827" spans="1:6" ht="12.75">
      <c r="A827" s="637" t="s">
        <v>173</v>
      </c>
      <c r="B827" s="638">
        <v>4552</v>
      </c>
      <c r="C827" s="638">
        <v>802</v>
      </c>
      <c r="D827" s="638">
        <v>1089</v>
      </c>
      <c r="E827" s="638">
        <v>35</v>
      </c>
      <c r="F827" s="638">
        <v>233</v>
      </c>
    </row>
    <row r="828" spans="1:6" ht="12.75">
      <c r="A828" s="631" t="s">
        <v>174</v>
      </c>
      <c r="B828" s="636">
        <v>750</v>
      </c>
      <c r="C828" s="636">
        <v>93</v>
      </c>
      <c r="D828" s="636">
        <v>206</v>
      </c>
      <c r="E828" s="636">
        <v>5</v>
      </c>
      <c r="F828" s="636">
        <v>56</v>
      </c>
    </row>
    <row r="829" spans="1:6" ht="12.75">
      <c r="A829" s="637" t="s">
        <v>175</v>
      </c>
      <c r="B829" s="638">
        <v>8800</v>
      </c>
      <c r="C829" s="638">
        <v>2010</v>
      </c>
      <c r="D829" s="638">
        <v>2117</v>
      </c>
      <c r="E829" s="638">
        <v>97</v>
      </c>
      <c r="F829" s="638">
        <v>636</v>
      </c>
    </row>
    <row r="830" spans="1:6" ht="12.75">
      <c r="A830" s="631" t="s">
        <v>176</v>
      </c>
      <c r="B830" s="631">
        <v>7635</v>
      </c>
      <c r="C830" s="631">
        <v>1045</v>
      </c>
      <c r="D830" s="631">
        <v>1520</v>
      </c>
      <c r="E830" s="631">
        <v>15</v>
      </c>
      <c r="F830" s="631">
        <v>389</v>
      </c>
    </row>
    <row r="831" spans="1:6" ht="12.75">
      <c r="A831" s="637" t="s">
        <v>1282</v>
      </c>
      <c r="B831" s="638">
        <v>99</v>
      </c>
      <c r="C831" s="638">
        <v>16</v>
      </c>
      <c r="D831" s="638">
        <v>34</v>
      </c>
      <c r="E831" s="638">
        <v>0</v>
      </c>
      <c r="F831" s="638">
        <v>13</v>
      </c>
    </row>
    <row r="832" spans="1:6" ht="12.75">
      <c r="A832" s="631" t="s">
        <v>177</v>
      </c>
      <c r="B832" s="636">
        <v>591</v>
      </c>
      <c r="C832" s="636">
        <v>147</v>
      </c>
      <c r="D832" s="636">
        <v>144</v>
      </c>
      <c r="E832" s="636">
        <v>6</v>
      </c>
      <c r="F832" s="636">
        <v>41</v>
      </c>
    </row>
    <row r="833" spans="1:6" ht="12.75">
      <c r="A833" s="637" t="s">
        <v>1283</v>
      </c>
      <c r="B833" s="638">
        <v>385</v>
      </c>
      <c r="C833" s="638">
        <v>80</v>
      </c>
      <c r="D833" s="638">
        <v>166</v>
      </c>
      <c r="E833" s="638">
        <v>0</v>
      </c>
      <c r="F833" s="638">
        <v>47</v>
      </c>
    </row>
    <row r="834" spans="1:6" ht="12.75">
      <c r="A834" s="631" t="s">
        <v>1284</v>
      </c>
      <c r="B834" s="636">
        <v>2275</v>
      </c>
      <c r="C834" s="636">
        <v>415</v>
      </c>
      <c r="D834" s="636">
        <v>533</v>
      </c>
      <c r="E834" s="636">
        <v>14</v>
      </c>
      <c r="F834" s="636">
        <v>145</v>
      </c>
    </row>
    <row r="835" spans="1:6" ht="12.75">
      <c r="A835" s="637" t="s">
        <v>1285</v>
      </c>
      <c r="B835" s="638">
        <v>89</v>
      </c>
      <c r="C835" s="638">
        <v>11</v>
      </c>
      <c r="D835" s="638">
        <v>31</v>
      </c>
      <c r="E835" s="638">
        <v>0</v>
      </c>
      <c r="F835" s="638">
        <v>2</v>
      </c>
    </row>
    <row r="836" spans="1:6" ht="12.75">
      <c r="A836" s="631" t="s">
        <v>1286</v>
      </c>
      <c r="B836" s="636">
        <v>355</v>
      </c>
      <c r="C836" s="636">
        <v>63</v>
      </c>
      <c r="D836" s="636">
        <v>136</v>
      </c>
      <c r="E836" s="636">
        <v>0</v>
      </c>
      <c r="F836" s="636">
        <v>36</v>
      </c>
    </row>
    <row r="837" spans="1:6" ht="12.75">
      <c r="A837" s="637" t="s">
        <v>179</v>
      </c>
      <c r="B837" s="638">
        <v>261</v>
      </c>
      <c r="C837" s="638">
        <v>25</v>
      </c>
      <c r="D837" s="638">
        <v>160</v>
      </c>
      <c r="E837" s="638">
        <v>423</v>
      </c>
      <c r="F837" s="638">
        <v>775</v>
      </c>
    </row>
    <row r="838" spans="1:6" ht="12.75">
      <c r="A838" s="631" t="s">
        <v>180</v>
      </c>
      <c r="B838" s="636">
        <v>7356</v>
      </c>
      <c r="C838" s="636">
        <v>1327</v>
      </c>
      <c r="D838" s="636">
        <v>1441</v>
      </c>
      <c r="E838" s="636">
        <v>57</v>
      </c>
      <c r="F838" s="636">
        <v>226</v>
      </c>
    </row>
    <row r="839" spans="1:6" ht="12.75">
      <c r="A839" s="637" t="s">
        <v>181</v>
      </c>
      <c r="B839" s="638">
        <v>2685</v>
      </c>
      <c r="C839" s="638">
        <v>378</v>
      </c>
      <c r="D839" s="638">
        <v>738</v>
      </c>
      <c r="E839" s="638">
        <v>61</v>
      </c>
      <c r="F839" s="638">
        <v>242</v>
      </c>
    </row>
    <row r="840" spans="1:6" ht="12.75">
      <c r="A840" s="631" t="s">
        <v>182</v>
      </c>
      <c r="B840" s="636">
        <v>533</v>
      </c>
      <c r="C840" s="636">
        <v>97</v>
      </c>
      <c r="D840" s="636">
        <v>164</v>
      </c>
      <c r="E840" s="636">
        <v>3</v>
      </c>
      <c r="F840" s="636">
        <v>34</v>
      </c>
    </row>
    <row r="841" spans="1:6" ht="12.75">
      <c r="A841" s="637" t="s">
        <v>183</v>
      </c>
      <c r="B841" s="638">
        <v>1381</v>
      </c>
      <c r="C841" s="638">
        <v>137</v>
      </c>
      <c r="D841" s="638">
        <v>383</v>
      </c>
      <c r="E841" s="638">
        <v>25</v>
      </c>
      <c r="F841" s="638">
        <v>85</v>
      </c>
    </row>
    <row r="842" spans="1:6" ht="12.75">
      <c r="A842" s="631" t="s">
        <v>184</v>
      </c>
      <c r="B842" s="636">
        <v>401</v>
      </c>
      <c r="C842" s="636">
        <v>45</v>
      </c>
      <c r="D842" s="636">
        <v>133</v>
      </c>
      <c r="E842" s="636">
        <v>28</v>
      </c>
      <c r="F842" s="636">
        <v>51</v>
      </c>
    </row>
    <row r="843" spans="1:6" ht="12.75">
      <c r="A843" s="637" t="s">
        <v>185</v>
      </c>
      <c r="B843" s="638">
        <v>855</v>
      </c>
      <c r="C843" s="638">
        <v>209</v>
      </c>
      <c r="D843" s="638">
        <v>236</v>
      </c>
      <c r="E843" s="638">
        <v>3</v>
      </c>
      <c r="F843" s="638">
        <v>57</v>
      </c>
    </row>
    <row r="844" spans="1:6" ht="12.75">
      <c r="A844" s="631" t="s">
        <v>186</v>
      </c>
      <c r="B844" s="636">
        <v>1336</v>
      </c>
      <c r="C844" s="636">
        <v>208</v>
      </c>
      <c r="D844" s="636">
        <v>353</v>
      </c>
      <c r="E844" s="636">
        <v>2</v>
      </c>
      <c r="F844" s="636">
        <v>40</v>
      </c>
    </row>
    <row r="845" spans="1:6" ht="12.75">
      <c r="A845" s="637" t="s">
        <v>187</v>
      </c>
      <c r="B845" s="638">
        <v>3225</v>
      </c>
      <c r="C845" s="638">
        <v>1004</v>
      </c>
      <c r="D845" s="638">
        <v>712</v>
      </c>
      <c r="E845" s="638">
        <v>39</v>
      </c>
      <c r="F845" s="638">
        <v>157</v>
      </c>
    </row>
    <row r="846" spans="1:6" ht="12.75">
      <c r="A846" s="631" t="s">
        <v>188</v>
      </c>
      <c r="B846" s="636">
        <v>177</v>
      </c>
      <c r="C846" s="636">
        <v>36</v>
      </c>
      <c r="D846" s="636">
        <v>55</v>
      </c>
      <c r="E846" s="636">
        <v>5</v>
      </c>
      <c r="F846" s="636">
        <v>10</v>
      </c>
    </row>
    <row r="847" spans="1:6" ht="12.75">
      <c r="A847" s="637" t="s">
        <v>189</v>
      </c>
      <c r="B847" s="638">
        <v>1306</v>
      </c>
      <c r="C847" s="638">
        <v>151</v>
      </c>
      <c r="D847" s="638">
        <v>335</v>
      </c>
      <c r="E847" s="638">
        <v>42</v>
      </c>
      <c r="F847" s="638">
        <v>149</v>
      </c>
    </row>
    <row r="848" spans="1:6" ht="12.75">
      <c r="A848" s="631" t="s">
        <v>178</v>
      </c>
      <c r="B848" s="636">
        <v>260</v>
      </c>
      <c r="C848" s="636">
        <v>51</v>
      </c>
      <c r="D848" s="636">
        <v>103</v>
      </c>
      <c r="E848" s="636">
        <v>23</v>
      </c>
      <c r="F848" s="636">
        <v>62</v>
      </c>
    </row>
    <row r="849" spans="1:6" ht="12.75">
      <c r="A849" s="637" t="s">
        <v>190</v>
      </c>
      <c r="B849" s="638">
        <v>460</v>
      </c>
      <c r="C849" s="638">
        <v>84</v>
      </c>
      <c r="D849" s="638">
        <v>154</v>
      </c>
      <c r="E849" s="638">
        <v>9</v>
      </c>
      <c r="F849" s="638">
        <v>34</v>
      </c>
    </row>
    <row r="850" spans="1:6" ht="12.75">
      <c r="A850" s="631" t="s">
        <v>191</v>
      </c>
      <c r="B850" s="636">
        <v>6256</v>
      </c>
      <c r="C850" s="636">
        <v>1131</v>
      </c>
      <c r="D850" s="636">
        <v>1963</v>
      </c>
      <c r="E850" s="636">
        <v>28</v>
      </c>
      <c r="F850" s="636">
        <v>257</v>
      </c>
    </row>
    <row r="851" spans="1:6" ht="12.75">
      <c r="A851" s="637" t="s">
        <v>192</v>
      </c>
      <c r="B851" s="638">
        <v>100</v>
      </c>
      <c r="C851" s="638">
        <v>26</v>
      </c>
      <c r="D851" s="638">
        <v>63</v>
      </c>
      <c r="E851" s="638">
        <v>0</v>
      </c>
      <c r="F851" s="638">
        <v>8</v>
      </c>
    </row>
    <row r="852" spans="1:6" ht="12.75">
      <c r="A852" s="631" t="s">
        <v>193</v>
      </c>
      <c r="B852" s="636">
        <v>423</v>
      </c>
      <c r="C852" s="636">
        <v>79</v>
      </c>
      <c r="D852" s="636">
        <v>164</v>
      </c>
      <c r="E852" s="636">
        <v>6</v>
      </c>
      <c r="F852" s="636">
        <v>36</v>
      </c>
    </row>
    <row r="853" spans="1:6" ht="12.75">
      <c r="A853" s="637" t="s">
        <v>194</v>
      </c>
      <c r="B853" s="638">
        <v>16569</v>
      </c>
      <c r="C853" s="638">
        <v>2843</v>
      </c>
      <c r="D853" s="638">
        <v>4957</v>
      </c>
      <c r="E853" s="638">
        <v>152</v>
      </c>
      <c r="F853" s="638">
        <v>907</v>
      </c>
    </row>
    <row r="854" spans="1:6" ht="12.75">
      <c r="A854" s="631" t="s">
        <v>195</v>
      </c>
      <c r="B854" s="631">
        <v>73</v>
      </c>
      <c r="C854" s="631">
        <v>25</v>
      </c>
      <c r="D854" s="631">
        <v>46</v>
      </c>
      <c r="E854" s="631">
        <v>1</v>
      </c>
      <c r="F854" s="631">
        <v>16</v>
      </c>
    </row>
    <row r="855" spans="1:6" ht="12.75">
      <c r="A855" s="637" t="s">
        <v>196</v>
      </c>
      <c r="B855" s="638">
        <v>2683</v>
      </c>
      <c r="C855" s="638">
        <v>1390</v>
      </c>
      <c r="D855" s="638">
        <v>776</v>
      </c>
      <c r="E855" s="638">
        <v>0</v>
      </c>
      <c r="F855" s="638">
        <v>136</v>
      </c>
    </row>
    <row r="856" spans="1:6" ht="12.75">
      <c r="A856" s="631" t="s">
        <v>197</v>
      </c>
      <c r="B856" s="636">
        <v>2802</v>
      </c>
      <c r="C856" s="636">
        <v>295</v>
      </c>
      <c r="D856" s="636">
        <v>1019</v>
      </c>
      <c r="E856" s="636">
        <v>14</v>
      </c>
      <c r="F856" s="636">
        <v>218</v>
      </c>
    </row>
    <row r="857" spans="1:6" ht="12.75">
      <c r="A857" s="637" t="s">
        <v>198</v>
      </c>
      <c r="B857" s="638">
        <v>650</v>
      </c>
      <c r="C857" s="638">
        <v>156</v>
      </c>
      <c r="D857" s="638">
        <v>265</v>
      </c>
      <c r="E857" s="638">
        <v>5</v>
      </c>
      <c r="F857" s="638">
        <v>24</v>
      </c>
    </row>
    <row r="858" spans="1:6" ht="12.75">
      <c r="A858" s="631" t="s">
        <v>199</v>
      </c>
      <c r="B858" s="636">
        <v>1062</v>
      </c>
      <c r="C858" s="636">
        <v>254</v>
      </c>
      <c r="D858" s="636">
        <v>284</v>
      </c>
      <c r="E858" s="636">
        <v>6</v>
      </c>
      <c r="F858" s="636">
        <v>46</v>
      </c>
    </row>
    <row r="859" spans="1:6" ht="12.75">
      <c r="A859" s="637" t="s">
        <v>200</v>
      </c>
      <c r="B859" s="638">
        <v>166</v>
      </c>
      <c r="C859" s="638">
        <v>48</v>
      </c>
      <c r="D859" s="638">
        <v>73</v>
      </c>
      <c r="E859" s="638">
        <v>1</v>
      </c>
      <c r="F859" s="638">
        <v>18</v>
      </c>
    </row>
    <row r="860" spans="1:6" ht="12.75">
      <c r="A860" s="631" t="s">
        <v>201</v>
      </c>
      <c r="B860" s="636">
        <v>3451</v>
      </c>
      <c r="C860" s="636">
        <v>363</v>
      </c>
      <c r="D860" s="636">
        <v>1149</v>
      </c>
      <c r="E860" s="636">
        <v>24</v>
      </c>
      <c r="F860" s="636">
        <v>132</v>
      </c>
    </row>
    <row r="861" spans="1:6" ht="12.75">
      <c r="A861" s="637" t="s">
        <v>202</v>
      </c>
      <c r="B861" s="638">
        <v>232</v>
      </c>
      <c r="C861" s="638">
        <v>70</v>
      </c>
      <c r="D861" s="638">
        <v>134</v>
      </c>
      <c r="E861" s="638">
        <v>1</v>
      </c>
      <c r="F861" s="638">
        <v>29</v>
      </c>
    </row>
    <row r="862" spans="1:6" ht="12.75">
      <c r="A862" s="631" t="s">
        <v>203</v>
      </c>
      <c r="B862" s="636">
        <v>123</v>
      </c>
      <c r="C862" s="636">
        <v>33</v>
      </c>
      <c r="D862" s="636">
        <v>60</v>
      </c>
      <c r="E862" s="636">
        <v>0</v>
      </c>
      <c r="F862" s="636">
        <v>9</v>
      </c>
    </row>
    <row r="863" spans="1:6" ht="12.75">
      <c r="A863" s="637" t="s">
        <v>204</v>
      </c>
      <c r="B863" s="638">
        <v>113</v>
      </c>
      <c r="C863" s="638">
        <v>42</v>
      </c>
      <c r="D863" s="638">
        <v>72</v>
      </c>
      <c r="E863" s="638">
        <v>0</v>
      </c>
      <c r="F863" s="638">
        <v>19</v>
      </c>
    </row>
    <row r="864" spans="1:6" ht="12.75">
      <c r="A864" s="631" t="s">
        <v>205</v>
      </c>
      <c r="B864" s="636">
        <v>3683</v>
      </c>
      <c r="C864" s="636">
        <v>921</v>
      </c>
      <c r="D864" s="636">
        <v>947</v>
      </c>
      <c r="E864" s="636">
        <v>23</v>
      </c>
      <c r="F864" s="636">
        <v>200</v>
      </c>
    </row>
    <row r="865" spans="1:6" ht="12.75">
      <c r="A865" s="637" t="s">
        <v>1287</v>
      </c>
      <c r="B865" s="638">
        <v>82</v>
      </c>
      <c r="C865" s="638">
        <v>22</v>
      </c>
      <c r="D865" s="638">
        <v>25</v>
      </c>
      <c r="E865" s="638">
        <v>0</v>
      </c>
      <c r="F865" s="638">
        <v>5</v>
      </c>
    </row>
    <row r="866" spans="1:6" ht="12.75">
      <c r="A866" s="631" t="s">
        <v>1288</v>
      </c>
      <c r="B866" s="636">
        <v>1773</v>
      </c>
      <c r="C866" s="636">
        <v>428</v>
      </c>
      <c r="D866" s="636">
        <v>683</v>
      </c>
      <c r="E866" s="636">
        <v>22</v>
      </c>
      <c r="F866" s="636">
        <v>170</v>
      </c>
    </row>
    <row r="867" spans="1:6" ht="12.75">
      <c r="A867" s="637" t="s">
        <v>1289</v>
      </c>
      <c r="B867" s="638">
        <v>850</v>
      </c>
      <c r="C867" s="638">
        <v>227</v>
      </c>
      <c r="D867" s="638">
        <v>355</v>
      </c>
      <c r="E867" s="638">
        <v>20</v>
      </c>
      <c r="F867" s="638">
        <v>53</v>
      </c>
    </row>
    <row r="868" spans="1:6" ht="12.75">
      <c r="A868" s="631" t="s">
        <v>1290</v>
      </c>
      <c r="B868" s="636">
        <v>506</v>
      </c>
      <c r="C868" s="636">
        <v>94</v>
      </c>
      <c r="D868" s="636">
        <v>236</v>
      </c>
      <c r="E868" s="636">
        <v>1</v>
      </c>
      <c r="F868" s="636">
        <v>55</v>
      </c>
    </row>
    <row r="869" spans="1:6" ht="12.75">
      <c r="A869" s="637" t="s">
        <v>206</v>
      </c>
      <c r="B869" s="638">
        <v>244</v>
      </c>
      <c r="C869" s="638">
        <v>52</v>
      </c>
      <c r="D869" s="638">
        <v>121</v>
      </c>
      <c r="E869" s="638">
        <v>1</v>
      </c>
      <c r="F869" s="638">
        <v>52</v>
      </c>
    </row>
    <row r="870" spans="1:6" ht="12.75">
      <c r="A870" s="631" t="s">
        <v>208</v>
      </c>
      <c r="B870" s="636">
        <v>757</v>
      </c>
      <c r="C870" s="636">
        <v>118</v>
      </c>
      <c r="D870" s="636">
        <v>192</v>
      </c>
      <c r="E870" s="636">
        <v>17</v>
      </c>
      <c r="F870" s="636">
        <v>59</v>
      </c>
    </row>
    <row r="871" spans="1:6" ht="12.75">
      <c r="A871" s="637" t="s">
        <v>209</v>
      </c>
      <c r="B871" s="638">
        <v>141</v>
      </c>
      <c r="C871" s="638">
        <v>18</v>
      </c>
      <c r="D871" s="638">
        <v>58</v>
      </c>
      <c r="E871" s="638">
        <v>1</v>
      </c>
      <c r="F871" s="638">
        <v>11</v>
      </c>
    </row>
    <row r="872" spans="1:6" ht="12.75">
      <c r="A872" s="631" t="s">
        <v>210</v>
      </c>
      <c r="B872" s="636">
        <v>174</v>
      </c>
      <c r="C872" s="636">
        <v>43</v>
      </c>
      <c r="D872" s="636">
        <v>91</v>
      </c>
      <c r="E872" s="636">
        <v>0</v>
      </c>
      <c r="F872" s="636">
        <v>7</v>
      </c>
    </row>
    <row r="873" spans="1:6" ht="12.75">
      <c r="A873" s="637" t="s">
        <v>211</v>
      </c>
      <c r="B873" s="638">
        <v>55</v>
      </c>
      <c r="C873" s="638">
        <v>19</v>
      </c>
      <c r="D873" s="638">
        <v>27</v>
      </c>
      <c r="E873" s="638">
        <v>0</v>
      </c>
      <c r="F873" s="638">
        <v>3</v>
      </c>
    </row>
    <row r="874" spans="1:6" ht="12.75">
      <c r="A874" s="631" t="s">
        <v>212</v>
      </c>
      <c r="B874" s="636">
        <v>1284</v>
      </c>
      <c r="C874" s="636">
        <v>182</v>
      </c>
      <c r="D874" s="636">
        <v>378</v>
      </c>
      <c r="E874" s="636">
        <v>38</v>
      </c>
      <c r="F874" s="636">
        <v>134</v>
      </c>
    </row>
    <row r="875" spans="1:6" ht="12.75">
      <c r="A875" s="637" t="s">
        <v>213</v>
      </c>
      <c r="B875" s="638">
        <v>144</v>
      </c>
      <c r="C875" s="638">
        <v>27</v>
      </c>
      <c r="D875" s="638">
        <v>77</v>
      </c>
      <c r="E875" s="638">
        <v>8</v>
      </c>
      <c r="F875" s="638">
        <v>13</v>
      </c>
    </row>
    <row r="876" spans="1:6" ht="12.75">
      <c r="A876" s="631" t="s">
        <v>214</v>
      </c>
      <c r="B876" s="636">
        <v>87</v>
      </c>
      <c r="C876" s="636">
        <v>12</v>
      </c>
      <c r="D876" s="636">
        <v>26</v>
      </c>
      <c r="E876" s="636">
        <v>0</v>
      </c>
      <c r="F876" s="636">
        <v>4</v>
      </c>
    </row>
    <row r="877" spans="1:6" ht="12.75">
      <c r="A877" s="637" t="s">
        <v>215</v>
      </c>
      <c r="B877" s="638">
        <v>1647</v>
      </c>
      <c r="C877" s="638">
        <v>469</v>
      </c>
      <c r="D877" s="638">
        <v>406</v>
      </c>
      <c r="E877" s="638">
        <v>25</v>
      </c>
      <c r="F877" s="638">
        <v>77</v>
      </c>
    </row>
    <row r="878" spans="1:6" ht="12.75">
      <c r="A878" s="631" t="s">
        <v>216</v>
      </c>
      <c r="B878" s="631">
        <v>8175</v>
      </c>
      <c r="C878" s="631">
        <v>1801</v>
      </c>
      <c r="D878" s="631">
        <v>1457</v>
      </c>
      <c r="E878" s="631">
        <v>80</v>
      </c>
      <c r="F878" s="631">
        <v>376</v>
      </c>
    </row>
    <row r="879" spans="1:6" ht="12.75">
      <c r="A879" s="637" t="s">
        <v>207</v>
      </c>
      <c r="B879" s="638">
        <v>543</v>
      </c>
      <c r="C879" s="638">
        <v>174</v>
      </c>
      <c r="D879" s="638">
        <v>215</v>
      </c>
      <c r="E879" s="638">
        <v>0</v>
      </c>
      <c r="F879" s="638">
        <v>32</v>
      </c>
    </row>
    <row r="880" spans="1:6" ht="12.75">
      <c r="A880" s="631" t="s">
        <v>217</v>
      </c>
      <c r="B880" s="636">
        <v>1021</v>
      </c>
      <c r="C880" s="636">
        <v>229</v>
      </c>
      <c r="D880" s="636">
        <v>301</v>
      </c>
      <c r="E880" s="636">
        <v>15</v>
      </c>
      <c r="F880" s="636">
        <v>81</v>
      </c>
    </row>
    <row r="881" spans="1:6" ht="12.75">
      <c r="A881" s="637" t="s">
        <v>218</v>
      </c>
      <c r="B881" s="638">
        <v>1379</v>
      </c>
      <c r="C881" s="638">
        <v>394</v>
      </c>
      <c r="D881" s="638">
        <v>322</v>
      </c>
      <c r="E881" s="638">
        <v>19</v>
      </c>
      <c r="F881" s="638">
        <v>57</v>
      </c>
    </row>
    <row r="882" spans="1:6" ht="12.75">
      <c r="A882" s="631" t="s">
        <v>219</v>
      </c>
      <c r="B882" s="636">
        <v>13096</v>
      </c>
      <c r="C882" s="636">
        <v>1818</v>
      </c>
      <c r="D882" s="636">
        <v>2843</v>
      </c>
      <c r="E882" s="636">
        <v>193</v>
      </c>
      <c r="F882" s="636">
        <v>696</v>
      </c>
    </row>
    <row r="883" spans="1:6" ht="12.75">
      <c r="A883" s="637" t="s">
        <v>1291</v>
      </c>
      <c r="B883" s="638">
        <v>183</v>
      </c>
      <c r="C883" s="638">
        <v>19</v>
      </c>
      <c r="D883" s="638">
        <v>94</v>
      </c>
      <c r="E883" s="638">
        <v>1</v>
      </c>
      <c r="F883" s="638">
        <v>23</v>
      </c>
    </row>
    <row r="884" spans="1:6" ht="12.75">
      <c r="A884" s="631" t="s">
        <v>1292</v>
      </c>
      <c r="B884" s="636">
        <v>478</v>
      </c>
      <c r="C884" s="636">
        <v>59</v>
      </c>
      <c r="D884" s="636">
        <v>172</v>
      </c>
      <c r="E884" s="636">
        <v>13</v>
      </c>
      <c r="F884" s="636">
        <v>54</v>
      </c>
    </row>
    <row r="885" spans="1:6" ht="12.75">
      <c r="A885" s="637" t="s">
        <v>220</v>
      </c>
      <c r="B885" s="638">
        <v>3700</v>
      </c>
      <c r="C885" s="638">
        <v>653</v>
      </c>
      <c r="D885" s="638">
        <v>869</v>
      </c>
      <c r="E885" s="638">
        <v>23</v>
      </c>
      <c r="F885" s="638">
        <v>184</v>
      </c>
    </row>
    <row r="886" spans="1:6" ht="12.75">
      <c r="A886" s="631" t="s">
        <v>1293</v>
      </c>
      <c r="B886" s="636">
        <v>102</v>
      </c>
      <c r="C886" s="636">
        <v>19</v>
      </c>
      <c r="D886" s="636">
        <v>74</v>
      </c>
      <c r="E886" s="636">
        <v>0</v>
      </c>
      <c r="F886" s="636">
        <v>15</v>
      </c>
    </row>
    <row r="887" spans="1:6" ht="12.75">
      <c r="A887" s="637" t="s">
        <v>221</v>
      </c>
      <c r="B887" s="638">
        <v>105</v>
      </c>
      <c r="C887" s="638">
        <v>9</v>
      </c>
      <c r="D887" s="638">
        <v>42</v>
      </c>
      <c r="E887" s="638">
        <v>0</v>
      </c>
      <c r="F887" s="638">
        <v>14</v>
      </c>
    </row>
    <row r="888" spans="1:6" ht="12.75">
      <c r="A888" s="631" t="s">
        <v>1294</v>
      </c>
      <c r="B888" s="636">
        <v>17945</v>
      </c>
      <c r="C888" s="636">
        <v>2937</v>
      </c>
      <c r="D888" s="636">
        <v>3185</v>
      </c>
      <c r="E888" s="636">
        <v>86</v>
      </c>
      <c r="F888" s="636">
        <v>520</v>
      </c>
    </row>
    <row r="889" spans="1:6" ht="12.75">
      <c r="A889" s="637" t="s">
        <v>222</v>
      </c>
      <c r="B889" s="638">
        <v>512</v>
      </c>
      <c r="C889" s="638">
        <v>117</v>
      </c>
      <c r="D889" s="638">
        <v>196</v>
      </c>
      <c r="E889" s="638">
        <v>6</v>
      </c>
      <c r="F889" s="638">
        <v>77</v>
      </c>
    </row>
    <row r="890" spans="1:6" ht="12.75">
      <c r="A890" s="631" t="s">
        <v>223</v>
      </c>
      <c r="B890" s="636">
        <v>545</v>
      </c>
      <c r="C890" s="636">
        <v>40</v>
      </c>
      <c r="D890" s="636">
        <v>144</v>
      </c>
      <c r="E890" s="636">
        <v>4</v>
      </c>
      <c r="F890" s="636">
        <v>14</v>
      </c>
    </row>
    <row r="891" spans="1:6" ht="12.75">
      <c r="A891" s="637" t="s">
        <v>224</v>
      </c>
      <c r="B891" s="638">
        <v>699</v>
      </c>
      <c r="C891" s="638">
        <v>81</v>
      </c>
      <c r="D891" s="638">
        <v>263</v>
      </c>
      <c r="E891" s="638">
        <v>6</v>
      </c>
      <c r="F891" s="638">
        <v>77</v>
      </c>
    </row>
    <row r="892" spans="1:6" ht="12.75">
      <c r="A892" s="631" t="s">
        <v>225</v>
      </c>
      <c r="B892" s="636">
        <v>270</v>
      </c>
      <c r="C892" s="636">
        <v>47</v>
      </c>
      <c r="D892" s="636">
        <v>76</v>
      </c>
      <c r="E892" s="636">
        <v>3</v>
      </c>
      <c r="F892" s="636">
        <v>16</v>
      </c>
    </row>
    <row r="893" spans="1:6" ht="12.75">
      <c r="A893" s="637" t="s">
        <v>226</v>
      </c>
      <c r="B893" s="638">
        <v>20887</v>
      </c>
      <c r="C893" s="638">
        <v>2975</v>
      </c>
      <c r="D893" s="638">
        <v>4929</v>
      </c>
      <c r="E893" s="638">
        <v>269</v>
      </c>
      <c r="F893" s="638">
        <v>1024</v>
      </c>
    </row>
    <row r="894" spans="1:6" ht="12.75">
      <c r="A894" s="631" t="s">
        <v>227</v>
      </c>
      <c r="B894" s="636">
        <v>113</v>
      </c>
      <c r="C894" s="636">
        <v>32</v>
      </c>
      <c r="D894" s="636">
        <v>57</v>
      </c>
      <c r="E894" s="636">
        <v>0</v>
      </c>
      <c r="F894" s="636">
        <v>11</v>
      </c>
    </row>
    <row r="895" spans="1:6" ht="12.75">
      <c r="A895" s="637" t="s">
        <v>228</v>
      </c>
      <c r="B895" s="638">
        <v>4620</v>
      </c>
      <c r="C895" s="638">
        <v>733</v>
      </c>
      <c r="D895" s="638">
        <v>1223</v>
      </c>
      <c r="E895" s="638">
        <v>63</v>
      </c>
      <c r="F895" s="638">
        <v>254</v>
      </c>
    </row>
    <row r="896" spans="1:6" ht="12.75">
      <c r="A896" s="631" t="s">
        <v>229</v>
      </c>
      <c r="B896" s="636">
        <v>2958</v>
      </c>
      <c r="C896" s="636">
        <v>511</v>
      </c>
      <c r="D896" s="636">
        <v>1234</v>
      </c>
      <c r="E896" s="636">
        <v>48</v>
      </c>
      <c r="F896" s="636">
        <v>221</v>
      </c>
    </row>
    <row r="897" spans="1:6" ht="12.75">
      <c r="A897" s="637" t="s">
        <v>234</v>
      </c>
      <c r="B897" s="638">
        <v>512</v>
      </c>
      <c r="C897" s="638">
        <v>137</v>
      </c>
      <c r="D897" s="638">
        <v>151</v>
      </c>
      <c r="E897" s="638">
        <v>0</v>
      </c>
      <c r="F897" s="638">
        <v>18</v>
      </c>
    </row>
    <row r="898" spans="1:6" ht="12.75">
      <c r="A898" s="631" t="s">
        <v>235</v>
      </c>
      <c r="B898" s="636">
        <v>549</v>
      </c>
      <c r="C898" s="636">
        <v>117</v>
      </c>
      <c r="D898" s="636">
        <v>168</v>
      </c>
      <c r="E898" s="636">
        <v>9</v>
      </c>
      <c r="F898" s="636">
        <v>36</v>
      </c>
    </row>
    <row r="899" spans="1:6" ht="12.75">
      <c r="A899" s="637" t="s">
        <v>236</v>
      </c>
      <c r="B899" s="638">
        <v>1814</v>
      </c>
      <c r="C899" s="638">
        <v>527</v>
      </c>
      <c r="D899" s="638">
        <v>617</v>
      </c>
      <c r="E899" s="638">
        <v>65</v>
      </c>
      <c r="F899" s="638">
        <v>115</v>
      </c>
    </row>
    <row r="900" spans="1:6" ht="12.75">
      <c r="A900" s="631" t="s">
        <v>237</v>
      </c>
      <c r="B900" s="636">
        <v>244</v>
      </c>
      <c r="C900" s="636">
        <v>75</v>
      </c>
      <c r="D900" s="636">
        <v>122</v>
      </c>
      <c r="E900" s="636">
        <v>1</v>
      </c>
      <c r="F900" s="636">
        <v>9</v>
      </c>
    </row>
    <row r="901" spans="1:6" ht="12.75">
      <c r="A901" s="637" t="s">
        <v>238</v>
      </c>
      <c r="B901" s="638">
        <v>347</v>
      </c>
      <c r="C901" s="638">
        <v>51</v>
      </c>
      <c r="D901" s="638">
        <v>125</v>
      </c>
      <c r="E901" s="638">
        <v>1</v>
      </c>
      <c r="F901" s="638">
        <v>19</v>
      </c>
    </row>
    <row r="902" spans="1:6" ht="12.75">
      <c r="A902" s="631" t="s">
        <v>239</v>
      </c>
      <c r="B902" s="631">
        <v>152</v>
      </c>
      <c r="C902" s="631">
        <v>31</v>
      </c>
      <c r="D902" s="631">
        <v>55</v>
      </c>
      <c r="E902" s="631">
        <v>0</v>
      </c>
      <c r="F902" s="631">
        <v>14</v>
      </c>
    </row>
    <row r="903" spans="1:6" ht="12.75">
      <c r="A903" s="637" t="s">
        <v>240</v>
      </c>
      <c r="B903" s="638">
        <v>29579</v>
      </c>
      <c r="C903" s="638">
        <v>5840</v>
      </c>
      <c r="D903" s="638">
        <v>4828</v>
      </c>
      <c r="E903" s="638">
        <v>255</v>
      </c>
      <c r="F903" s="638">
        <v>1187</v>
      </c>
    </row>
    <row r="904" spans="1:6" ht="12.75">
      <c r="A904" s="631" t="s">
        <v>241</v>
      </c>
      <c r="B904" s="636">
        <v>4572</v>
      </c>
      <c r="C904" s="636">
        <v>961</v>
      </c>
      <c r="D904" s="636">
        <v>963</v>
      </c>
      <c r="E904" s="636">
        <v>45</v>
      </c>
      <c r="F904" s="636">
        <v>262</v>
      </c>
    </row>
    <row r="905" spans="1:6" ht="12.75">
      <c r="A905" s="637" t="s">
        <v>242</v>
      </c>
      <c r="B905" s="638">
        <v>596</v>
      </c>
      <c r="C905" s="638">
        <v>146</v>
      </c>
      <c r="D905" s="638">
        <v>209</v>
      </c>
      <c r="E905" s="638">
        <v>2</v>
      </c>
      <c r="F905" s="638">
        <v>48</v>
      </c>
    </row>
    <row r="906" spans="1:6" ht="12.75">
      <c r="A906" s="631" t="s">
        <v>243</v>
      </c>
      <c r="B906" s="636">
        <v>649</v>
      </c>
      <c r="C906" s="636">
        <v>201</v>
      </c>
      <c r="D906" s="636">
        <v>232</v>
      </c>
      <c r="E906" s="636">
        <v>8</v>
      </c>
      <c r="F906" s="636">
        <v>39</v>
      </c>
    </row>
    <row r="907" spans="1:6" ht="12.75">
      <c r="A907" s="637" t="s">
        <v>244</v>
      </c>
      <c r="B907" s="638">
        <v>3342</v>
      </c>
      <c r="C907" s="638">
        <v>659</v>
      </c>
      <c r="D907" s="638">
        <v>864</v>
      </c>
      <c r="E907" s="638">
        <v>18</v>
      </c>
      <c r="F907" s="638">
        <v>116</v>
      </c>
    </row>
    <row r="908" spans="1:6" ht="12.75">
      <c r="A908" s="631" t="s">
        <v>245</v>
      </c>
      <c r="B908" s="636">
        <v>19187</v>
      </c>
      <c r="C908" s="636">
        <v>2839</v>
      </c>
      <c r="D908" s="636">
        <v>3781</v>
      </c>
      <c r="E908" s="636">
        <v>160</v>
      </c>
      <c r="F908" s="636">
        <v>945</v>
      </c>
    </row>
    <row r="909" spans="1:6" ht="12.75">
      <c r="A909" s="637" t="s">
        <v>246</v>
      </c>
      <c r="B909" s="638">
        <v>289</v>
      </c>
      <c r="C909" s="638">
        <v>31</v>
      </c>
      <c r="D909" s="638">
        <v>70</v>
      </c>
      <c r="E909" s="638">
        <v>7</v>
      </c>
      <c r="F909" s="638">
        <v>18</v>
      </c>
    </row>
    <row r="910" spans="1:6" ht="12.75">
      <c r="A910" s="631" t="s">
        <v>247</v>
      </c>
      <c r="B910" s="636">
        <v>692</v>
      </c>
      <c r="C910" s="636">
        <v>127</v>
      </c>
      <c r="D910" s="636">
        <v>199</v>
      </c>
      <c r="E910" s="636">
        <v>0</v>
      </c>
      <c r="F910" s="636">
        <v>25</v>
      </c>
    </row>
    <row r="911" spans="1:6" ht="12.75">
      <c r="A911" s="637" t="s">
        <v>248</v>
      </c>
      <c r="B911" s="638">
        <v>294</v>
      </c>
      <c r="C911" s="638">
        <v>28</v>
      </c>
      <c r="D911" s="638">
        <v>156</v>
      </c>
      <c r="E911" s="638">
        <v>7</v>
      </c>
      <c r="F911" s="638">
        <v>65</v>
      </c>
    </row>
    <row r="912" spans="1:6" ht="12.75">
      <c r="A912" s="631" t="s">
        <v>249</v>
      </c>
      <c r="B912" s="636">
        <v>353</v>
      </c>
      <c r="C912" s="636">
        <v>86</v>
      </c>
      <c r="D912" s="636">
        <v>119</v>
      </c>
      <c r="E912" s="636">
        <v>3</v>
      </c>
      <c r="F912" s="636">
        <v>19</v>
      </c>
    </row>
    <row r="913" spans="1:6" ht="12.75">
      <c r="A913" s="637" t="s">
        <v>250</v>
      </c>
      <c r="B913" s="638">
        <v>327</v>
      </c>
      <c r="C913" s="638">
        <v>41</v>
      </c>
      <c r="D913" s="638">
        <v>105</v>
      </c>
      <c r="E913" s="638">
        <v>0</v>
      </c>
      <c r="F913" s="638">
        <v>26</v>
      </c>
    </row>
    <row r="914" spans="1:6" ht="12.75">
      <c r="A914" s="631" t="s">
        <v>251</v>
      </c>
      <c r="B914" s="636">
        <v>262</v>
      </c>
      <c r="C914" s="636">
        <v>76</v>
      </c>
      <c r="D914" s="636">
        <v>165</v>
      </c>
      <c r="E914" s="636">
        <v>2</v>
      </c>
      <c r="F914" s="636">
        <v>46</v>
      </c>
    </row>
    <row r="915" spans="1:6" ht="12.75">
      <c r="A915" s="637" t="s">
        <v>252</v>
      </c>
      <c r="B915" s="638">
        <v>1343</v>
      </c>
      <c r="C915" s="638">
        <v>279</v>
      </c>
      <c r="D915" s="638">
        <v>275</v>
      </c>
      <c r="E915" s="638">
        <v>3</v>
      </c>
      <c r="F915" s="638">
        <v>36</v>
      </c>
    </row>
    <row r="916" spans="1:6" ht="12.75">
      <c r="A916" s="631" t="s">
        <v>253</v>
      </c>
      <c r="B916" s="636">
        <v>205</v>
      </c>
      <c r="C916" s="636">
        <v>32</v>
      </c>
      <c r="D916" s="636">
        <v>114</v>
      </c>
      <c r="E916" s="636">
        <v>3</v>
      </c>
      <c r="F916" s="636">
        <v>21</v>
      </c>
    </row>
    <row r="917" spans="1:6" ht="12.75">
      <c r="A917" s="637" t="s">
        <v>254</v>
      </c>
      <c r="B917" s="638">
        <v>1213</v>
      </c>
      <c r="C917" s="638">
        <v>178</v>
      </c>
      <c r="D917" s="638">
        <v>910</v>
      </c>
      <c r="E917" s="638">
        <v>119</v>
      </c>
      <c r="F917" s="638">
        <v>189</v>
      </c>
    </row>
    <row r="918" spans="1:6" ht="12.75">
      <c r="A918" s="631" t="s">
        <v>255</v>
      </c>
      <c r="B918" s="636">
        <v>119</v>
      </c>
      <c r="C918" s="636">
        <v>14</v>
      </c>
      <c r="D918" s="636">
        <v>49</v>
      </c>
      <c r="E918" s="636">
        <v>0</v>
      </c>
      <c r="F918" s="636">
        <v>10</v>
      </c>
    </row>
    <row r="919" spans="1:6" ht="12.75">
      <c r="A919" s="637" t="s">
        <v>256</v>
      </c>
      <c r="B919" s="638">
        <v>140</v>
      </c>
      <c r="C919" s="638">
        <v>20</v>
      </c>
      <c r="D919" s="638">
        <v>72</v>
      </c>
      <c r="E919" s="638">
        <v>0</v>
      </c>
      <c r="F919" s="638">
        <v>17</v>
      </c>
    </row>
    <row r="920" spans="1:6" ht="12.75">
      <c r="A920" s="631" t="s">
        <v>257</v>
      </c>
      <c r="B920" s="636">
        <v>233</v>
      </c>
      <c r="C920" s="636">
        <v>49</v>
      </c>
      <c r="D920" s="636">
        <v>81</v>
      </c>
      <c r="E920" s="636">
        <v>0</v>
      </c>
      <c r="F920" s="636">
        <v>11</v>
      </c>
    </row>
    <row r="921" spans="1:6" ht="12.75">
      <c r="A921" s="637" t="s">
        <v>258</v>
      </c>
      <c r="B921" s="638">
        <v>391</v>
      </c>
      <c r="C921" s="638">
        <v>90</v>
      </c>
      <c r="D921" s="638">
        <v>165</v>
      </c>
      <c r="E921" s="638">
        <v>3</v>
      </c>
      <c r="F921" s="638">
        <v>29</v>
      </c>
    </row>
    <row r="922" spans="1:6" ht="12.75">
      <c r="A922" s="631" t="s">
        <v>259</v>
      </c>
      <c r="B922" s="636">
        <v>673</v>
      </c>
      <c r="C922" s="636">
        <v>91</v>
      </c>
      <c r="D922" s="636">
        <v>160</v>
      </c>
      <c r="E922" s="636">
        <v>2</v>
      </c>
      <c r="F922" s="636">
        <v>25</v>
      </c>
    </row>
    <row r="923" spans="1:6" ht="12.75">
      <c r="A923" s="637" t="s">
        <v>260</v>
      </c>
      <c r="B923" s="638">
        <v>162</v>
      </c>
      <c r="C923" s="638">
        <v>22</v>
      </c>
      <c r="D923" s="638">
        <v>55</v>
      </c>
      <c r="E923" s="638">
        <v>3</v>
      </c>
      <c r="F923" s="638">
        <v>15</v>
      </c>
    </row>
    <row r="924" spans="1:6" ht="12.75">
      <c r="A924" s="631" t="s">
        <v>261</v>
      </c>
      <c r="B924" s="636">
        <v>707</v>
      </c>
      <c r="C924" s="636">
        <v>77</v>
      </c>
      <c r="D924" s="636">
        <v>174</v>
      </c>
      <c r="E924" s="636">
        <v>7</v>
      </c>
      <c r="F924" s="636">
        <v>48</v>
      </c>
    </row>
    <row r="925" spans="1:6" ht="12.75">
      <c r="A925" s="637" t="s">
        <v>262</v>
      </c>
      <c r="B925" s="638">
        <v>336</v>
      </c>
      <c r="C925" s="638">
        <v>69</v>
      </c>
      <c r="D925" s="638">
        <v>153</v>
      </c>
      <c r="E925" s="638">
        <v>4</v>
      </c>
      <c r="F925" s="638">
        <v>44</v>
      </c>
    </row>
    <row r="926" spans="1:6" ht="12.75">
      <c r="A926" s="631" t="s">
        <v>263</v>
      </c>
      <c r="B926" s="631">
        <v>69</v>
      </c>
      <c r="C926" s="631">
        <v>9</v>
      </c>
      <c r="D926" s="631">
        <v>48</v>
      </c>
      <c r="E926" s="631">
        <v>0</v>
      </c>
      <c r="F926" s="631">
        <v>9</v>
      </c>
    </row>
    <row r="927" spans="1:6" ht="12.75">
      <c r="A927" s="637" t="s">
        <v>264</v>
      </c>
      <c r="B927" s="638">
        <v>204</v>
      </c>
      <c r="C927" s="638">
        <v>56</v>
      </c>
      <c r="D927" s="638">
        <v>120</v>
      </c>
      <c r="E927" s="638">
        <v>1</v>
      </c>
      <c r="F927" s="638">
        <v>35</v>
      </c>
    </row>
    <row r="928" spans="1:6" ht="12.75">
      <c r="A928" s="631" t="s">
        <v>265</v>
      </c>
      <c r="B928" s="636">
        <v>596</v>
      </c>
      <c r="C928" s="636">
        <v>91</v>
      </c>
      <c r="D928" s="636">
        <v>145</v>
      </c>
      <c r="E928" s="636">
        <v>2</v>
      </c>
      <c r="F928" s="636">
        <v>21</v>
      </c>
    </row>
    <row r="929" spans="1:6" ht="12.75">
      <c r="A929" s="637" t="s">
        <v>266</v>
      </c>
      <c r="B929" s="638">
        <v>6502</v>
      </c>
      <c r="C929" s="638">
        <v>1016</v>
      </c>
      <c r="D929" s="638">
        <v>1249</v>
      </c>
      <c r="E929" s="638">
        <v>40</v>
      </c>
      <c r="F929" s="638">
        <v>239</v>
      </c>
    </row>
    <row r="930" spans="1:6" ht="12.75">
      <c r="A930" s="631" t="s">
        <v>267</v>
      </c>
      <c r="B930" s="636">
        <v>2852</v>
      </c>
      <c r="C930" s="636">
        <v>690</v>
      </c>
      <c r="D930" s="636">
        <v>716</v>
      </c>
      <c r="E930" s="636">
        <v>21</v>
      </c>
      <c r="F930" s="636">
        <v>249</v>
      </c>
    </row>
    <row r="931" spans="1:6" ht="12.75">
      <c r="A931" s="637" t="s">
        <v>268</v>
      </c>
      <c r="B931" s="638">
        <v>29425</v>
      </c>
      <c r="C931" s="638">
        <v>8398</v>
      </c>
      <c r="D931" s="638">
        <v>5246</v>
      </c>
      <c r="E931" s="638">
        <v>154</v>
      </c>
      <c r="F931" s="638">
        <v>808</v>
      </c>
    </row>
    <row r="932" spans="1:6" ht="12.75">
      <c r="A932" s="631" t="s">
        <v>269</v>
      </c>
      <c r="B932" s="636">
        <v>349</v>
      </c>
      <c r="C932" s="636">
        <v>71</v>
      </c>
      <c r="D932" s="636">
        <v>117</v>
      </c>
      <c r="E932" s="636">
        <v>0</v>
      </c>
      <c r="F932" s="636">
        <v>16</v>
      </c>
    </row>
    <row r="933" spans="1:6" ht="12.75">
      <c r="A933" s="637" t="s">
        <v>230</v>
      </c>
      <c r="B933" s="638">
        <v>798</v>
      </c>
      <c r="C933" s="638">
        <v>141</v>
      </c>
      <c r="D933" s="638">
        <v>238</v>
      </c>
      <c r="E933" s="638">
        <v>3</v>
      </c>
      <c r="F933" s="638">
        <v>50</v>
      </c>
    </row>
    <row r="934" spans="1:6" ht="12.75">
      <c r="A934" s="631" t="s">
        <v>231</v>
      </c>
      <c r="B934" s="636">
        <v>517</v>
      </c>
      <c r="C934" s="636">
        <v>84</v>
      </c>
      <c r="D934" s="636">
        <v>218</v>
      </c>
      <c r="E934" s="636">
        <v>31</v>
      </c>
      <c r="F934" s="636">
        <v>58</v>
      </c>
    </row>
    <row r="935" spans="1:6" ht="12.75">
      <c r="A935" s="637" t="s">
        <v>232</v>
      </c>
      <c r="B935" s="638">
        <v>709</v>
      </c>
      <c r="C935" s="638">
        <v>55</v>
      </c>
      <c r="D935" s="638">
        <v>308</v>
      </c>
      <c r="E935" s="638">
        <v>64</v>
      </c>
      <c r="F935" s="638">
        <v>175</v>
      </c>
    </row>
    <row r="936" spans="1:6" ht="12.75">
      <c r="A936" s="631" t="s">
        <v>233</v>
      </c>
      <c r="B936" s="636">
        <v>11081</v>
      </c>
      <c r="C936" s="636">
        <v>1863</v>
      </c>
      <c r="D936" s="636">
        <v>2238</v>
      </c>
      <c r="E936" s="636">
        <v>76</v>
      </c>
      <c r="F936" s="636">
        <v>432</v>
      </c>
    </row>
    <row r="937" spans="1:6" ht="12.75">
      <c r="A937" s="637" t="s">
        <v>270</v>
      </c>
      <c r="B937" s="638">
        <v>4793</v>
      </c>
      <c r="C937" s="638">
        <v>1264</v>
      </c>
      <c r="D937" s="638">
        <v>997</v>
      </c>
      <c r="E937" s="638">
        <v>7</v>
      </c>
      <c r="F937" s="638">
        <v>172</v>
      </c>
    </row>
    <row r="938" spans="1:6" ht="12.75">
      <c r="A938" s="631" t="s">
        <v>271</v>
      </c>
      <c r="B938" s="636">
        <v>9716</v>
      </c>
      <c r="C938" s="636">
        <v>2354</v>
      </c>
      <c r="D938" s="636">
        <v>1577</v>
      </c>
      <c r="E938" s="636">
        <v>39</v>
      </c>
      <c r="F938" s="636">
        <v>266</v>
      </c>
    </row>
    <row r="939" spans="1:6" ht="12.75">
      <c r="A939" s="637" t="s">
        <v>272</v>
      </c>
      <c r="B939" s="638">
        <v>94</v>
      </c>
      <c r="C939" s="638">
        <v>21</v>
      </c>
      <c r="D939" s="638">
        <v>46</v>
      </c>
      <c r="E939" s="638">
        <v>4</v>
      </c>
      <c r="F939" s="638">
        <v>23</v>
      </c>
    </row>
    <row r="940" spans="1:6" ht="12.75">
      <c r="A940" s="631" t="s">
        <v>273</v>
      </c>
      <c r="B940" s="636">
        <v>301</v>
      </c>
      <c r="C940" s="636">
        <v>32</v>
      </c>
      <c r="D940" s="636">
        <v>82</v>
      </c>
      <c r="E940" s="636">
        <v>11</v>
      </c>
      <c r="F940" s="636">
        <v>12</v>
      </c>
    </row>
    <row r="941" spans="1:6" ht="12.75">
      <c r="A941" s="637" t="s">
        <v>1295</v>
      </c>
      <c r="B941" s="638">
        <v>61</v>
      </c>
      <c r="C941" s="638">
        <v>16</v>
      </c>
      <c r="D941" s="638">
        <v>43</v>
      </c>
      <c r="E941" s="638">
        <v>0</v>
      </c>
      <c r="F941" s="638">
        <v>4</v>
      </c>
    </row>
    <row r="942" spans="1:6" ht="12.75">
      <c r="A942" s="631" t="s">
        <v>1296</v>
      </c>
      <c r="B942" s="636">
        <v>116</v>
      </c>
      <c r="C942" s="636">
        <v>24</v>
      </c>
      <c r="D942" s="636">
        <v>42</v>
      </c>
      <c r="E942" s="636">
        <v>0</v>
      </c>
      <c r="F942" s="636">
        <v>2</v>
      </c>
    </row>
    <row r="943" spans="1:6" ht="12.75">
      <c r="A943" s="637" t="s">
        <v>274</v>
      </c>
      <c r="B943" s="638">
        <v>2086</v>
      </c>
      <c r="C943" s="638">
        <v>334</v>
      </c>
      <c r="D943" s="638">
        <v>636</v>
      </c>
      <c r="E943" s="638">
        <v>22</v>
      </c>
      <c r="F943" s="638">
        <v>149</v>
      </c>
    </row>
    <row r="944" spans="1:6" ht="12.75">
      <c r="A944" s="631" t="s">
        <v>275</v>
      </c>
      <c r="B944" s="636">
        <v>703</v>
      </c>
      <c r="C944" s="636">
        <v>166</v>
      </c>
      <c r="D944" s="636">
        <v>216</v>
      </c>
      <c r="E944" s="636">
        <v>3</v>
      </c>
      <c r="F944" s="636">
        <v>65</v>
      </c>
    </row>
    <row r="945" spans="1:6" ht="12.75">
      <c r="A945" s="637" t="s">
        <v>276</v>
      </c>
      <c r="B945" s="638">
        <v>114</v>
      </c>
      <c r="C945" s="638">
        <v>40</v>
      </c>
      <c r="D945" s="638">
        <v>65</v>
      </c>
      <c r="E945" s="638">
        <v>0</v>
      </c>
      <c r="F945" s="638">
        <v>10</v>
      </c>
    </row>
    <row r="946" spans="1:6" ht="12.75">
      <c r="A946" s="631" t="s">
        <v>1297</v>
      </c>
      <c r="B946" s="636">
        <v>117</v>
      </c>
      <c r="C946" s="636">
        <v>19</v>
      </c>
      <c r="D946" s="636">
        <v>37</v>
      </c>
      <c r="E946" s="636">
        <v>0</v>
      </c>
      <c r="F946" s="636">
        <v>14</v>
      </c>
    </row>
    <row r="947" spans="1:6" ht="12.75">
      <c r="A947" s="637" t="s">
        <v>277</v>
      </c>
      <c r="B947" s="638">
        <v>563</v>
      </c>
      <c r="C947" s="638">
        <v>89</v>
      </c>
      <c r="D947" s="638">
        <v>179</v>
      </c>
      <c r="E947" s="638">
        <v>0</v>
      </c>
      <c r="F947" s="638">
        <v>41</v>
      </c>
    </row>
    <row r="948" spans="1:6" ht="12.75">
      <c r="A948" s="631" t="s">
        <v>278</v>
      </c>
      <c r="B948" s="636">
        <v>328</v>
      </c>
      <c r="C948" s="636">
        <v>29</v>
      </c>
      <c r="D948" s="636">
        <v>100</v>
      </c>
      <c r="E948" s="636">
        <v>7</v>
      </c>
      <c r="F948" s="636">
        <v>30</v>
      </c>
    </row>
    <row r="949" spans="1:6" ht="12.75">
      <c r="A949" s="637" t="s">
        <v>279</v>
      </c>
      <c r="B949" s="638">
        <v>273</v>
      </c>
      <c r="C949" s="638">
        <v>61</v>
      </c>
      <c r="D949" s="638">
        <v>89</v>
      </c>
      <c r="E949" s="638">
        <v>0</v>
      </c>
      <c r="F949" s="638">
        <v>27</v>
      </c>
    </row>
    <row r="950" spans="1:6" ht="12.75">
      <c r="A950" s="631" t="s">
        <v>280</v>
      </c>
      <c r="B950" s="631">
        <v>1220</v>
      </c>
      <c r="C950" s="631">
        <v>309</v>
      </c>
      <c r="D950" s="631">
        <v>447</v>
      </c>
      <c r="E950" s="631">
        <v>23</v>
      </c>
      <c r="F950" s="631">
        <v>99</v>
      </c>
    </row>
    <row r="951" spans="1:6" ht="12.75">
      <c r="A951" s="637" t="s">
        <v>281</v>
      </c>
      <c r="B951" s="638">
        <v>135</v>
      </c>
      <c r="C951" s="638">
        <v>26</v>
      </c>
      <c r="D951" s="638">
        <v>67</v>
      </c>
      <c r="E951" s="638">
        <v>2</v>
      </c>
      <c r="F951" s="638">
        <v>19</v>
      </c>
    </row>
    <row r="952" spans="1:6" ht="12.75">
      <c r="A952" s="631" t="s">
        <v>282</v>
      </c>
      <c r="B952" s="636">
        <v>606</v>
      </c>
      <c r="C952" s="636">
        <v>142</v>
      </c>
      <c r="D952" s="636">
        <v>260</v>
      </c>
      <c r="E952" s="636">
        <v>0</v>
      </c>
      <c r="F952" s="636">
        <v>24</v>
      </c>
    </row>
    <row r="953" spans="2:6" ht="12.75">
      <c r="B953" s="636"/>
      <c r="C953" s="636"/>
      <c r="D953" s="636"/>
      <c r="E953" s="636"/>
      <c r="F953" s="636"/>
    </row>
    <row r="954" spans="1:6" ht="15">
      <c r="A954" s="639" t="s">
        <v>1095</v>
      </c>
      <c r="B954" s="640">
        <f>SUM(B6:B952)</f>
        <v>3527349</v>
      </c>
      <c r="C954" s="640">
        <f>SUM(C6:C952)</f>
        <v>834673</v>
      </c>
      <c r="D954" s="640">
        <f>SUM(D6:D952)</f>
        <v>761459</v>
      </c>
      <c r="E954" s="640">
        <f>SUM(E6:E952)</f>
        <v>27994</v>
      </c>
      <c r="F954" s="640">
        <f>SUM(F6:F952)</f>
        <v>163804</v>
      </c>
    </row>
    <row r="956" ht="12.75">
      <c r="A956" s="643" t="s">
        <v>1139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4"/>
  <sheetViews>
    <sheetView showGridLines="0" view="pageBreakPreview" zoomScale="60" zoomScalePageLayoutView="0" workbookViewId="0" topLeftCell="A1">
      <selection activeCell="G19" sqref="G19"/>
    </sheetView>
  </sheetViews>
  <sheetFormatPr defaultColWidth="12.57421875" defaultRowHeight="12.75"/>
  <cols>
    <col min="1" max="1" width="15.8515625" style="0" customWidth="1"/>
    <col min="2" max="4" width="8.8515625" style="0" hidden="1" customWidth="1"/>
    <col min="5" max="9" width="10.57421875" style="0" hidden="1" customWidth="1"/>
    <col min="10" max="19" width="9.28125" style="0" hidden="1" customWidth="1"/>
    <col min="20" max="34" width="9.28125" style="0" customWidth="1"/>
  </cols>
  <sheetData>
    <row r="1" spans="1:11" ht="15">
      <c r="A1" s="1" t="s">
        <v>1309</v>
      </c>
      <c r="B1" s="47"/>
      <c r="C1" s="47"/>
      <c r="D1" s="47"/>
      <c r="E1" s="47"/>
      <c r="F1" s="47"/>
      <c r="G1" s="47"/>
      <c r="H1" s="47"/>
      <c r="I1" s="48"/>
      <c r="J1" s="40"/>
      <c r="K1" s="40"/>
    </row>
    <row r="2" spans="1:11" s="50" customFormat="1" ht="12">
      <c r="A2" s="49"/>
      <c r="B2" s="10"/>
      <c r="C2" s="10"/>
      <c r="D2" s="10"/>
      <c r="E2" s="10"/>
      <c r="F2" s="10"/>
      <c r="G2" s="10"/>
      <c r="H2" s="10"/>
      <c r="I2" s="10"/>
      <c r="J2" s="2"/>
      <c r="K2" s="2"/>
    </row>
    <row r="3" spans="1:11" s="50" customFormat="1" ht="12">
      <c r="A3" s="49"/>
      <c r="B3" s="10"/>
      <c r="C3" s="10"/>
      <c r="D3" s="10"/>
      <c r="E3" s="10"/>
      <c r="F3" s="10"/>
      <c r="G3" s="10"/>
      <c r="H3" s="10"/>
      <c r="I3" s="10"/>
      <c r="J3" s="2"/>
      <c r="K3" s="2"/>
    </row>
    <row r="4" spans="1:34" s="51" customFormat="1" ht="18" customHeight="1">
      <c r="A4" s="420"/>
      <c r="B4" s="421">
        <v>1987</v>
      </c>
      <c r="C4" s="421">
        <v>1988</v>
      </c>
      <c r="D4" s="421">
        <v>1989</v>
      </c>
      <c r="E4" s="421">
        <v>1990</v>
      </c>
      <c r="F4" s="421">
        <v>1991</v>
      </c>
      <c r="G4" s="421">
        <v>1992</v>
      </c>
      <c r="H4" s="421">
        <v>1993</v>
      </c>
      <c r="I4" s="421">
        <v>1994</v>
      </c>
      <c r="J4" s="422">
        <v>1995</v>
      </c>
      <c r="K4" s="423">
        <v>1996</v>
      </c>
      <c r="L4" s="423">
        <v>1997</v>
      </c>
      <c r="M4" s="423">
        <v>1998</v>
      </c>
      <c r="N4" s="423">
        <v>1999</v>
      </c>
      <c r="O4" s="424">
        <v>2000</v>
      </c>
      <c r="P4" s="424">
        <v>2001</v>
      </c>
      <c r="Q4" s="424">
        <v>2002</v>
      </c>
      <c r="R4" s="424">
        <v>2003</v>
      </c>
      <c r="S4" s="424">
        <v>2004</v>
      </c>
      <c r="T4" s="424">
        <v>2005</v>
      </c>
      <c r="U4" s="424">
        <v>2006</v>
      </c>
      <c r="V4" s="424">
        <v>2007</v>
      </c>
      <c r="W4" s="424">
        <v>2008</v>
      </c>
      <c r="X4" s="424">
        <v>2009</v>
      </c>
      <c r="Y4" s="424">
        <v>2010</v>
      </c>
      <c r="Z4" s="424">
        <v>2011</v>
      </c>
      <c r="AA4" s="424">
        <v>2012</v>
      </c>
      <c r="AB4" s="424">
        <v>2013</v>
      </c>
      <c r="AC4" s="424">
        <v>2014</v>
      </c>
      <c r="AD4" s="424">
        <v>2015</v>
      </c>
      <c r="AE4" s="424">
        <v>2016</v>
      </c>
      <c r="AF4" s="641">
        <v>2017</v>
      </c>
      <c r="AG4" s="641">
        <v>2018</v>
      </c>
      <c r="AH4" s="641" t="s">
        <v>1308</v>
      </c>
    </row>
    <row r="5" spans="1:14" s="50" customFormat="1" ht="15" customHeight="1">
      <c r="A5" s="10"/>
      <c r="B5" s="10"/>
      <c r="C5" s="10"/>
      <c r="D5" s="10"/>
      <c r="E5" s="10"/>
      <c r="F5" s="10"/>
      <c r="G5" s="2"/>
      <c r="H5" s="2"/>
      <c r="I5" s="10"/>
      <c r="J5" s="2"/>
      <c r="K5" s="2"/>
      <c r="L5" s="2"/>
      <c r="M5" s="2"/>
      <c r="N5" s="2"/>
    </row>
    <row r="6" spans="1:34" s="50" customFormat="1" ht="15" customHeight="1">
      <c r="A6" s="429" t="s">
        <v>1099</v>
      </c>
      <c r="B6" s="430">
        <v>184878</v>
      </c>
      <c r="C6" s="430">
        <v>214908</v>
      </c>
      <c r="D6" s="430">
        <v>227521</v>
      </c>
      <c r="E6" s="430">
        <v>185107</v>
      </c>
      <c r="F6" s="430">
        <v>159942</v>
      </c>
      <c r="G6" s="431">
        <v>173358</v>
      </c>
      <c r="H6" s="431">
        <v>130883</v>
      </c>
      <c r="I6" s="431">
        <v>157828</v>
      </c>
      <c r="J6" s="431">
        <v>147434</v>
      </c>
      <c r="K6" s="432">
        <v>162304</v>
      </c>
      <c r="L6" s="432">
        <f>147542+18970+9287+16830</f>
        <v>192629</v>
      </c>
      <c r="M6" s="432">
        <v>230304</v>
      </c>
      <c r="N6" s="432">
        <v>264215</v>
      </c>
      <c r="O6" s="433">
        <v>251222</v>
      </c>
      <c r="P6" s="433">
        <v>248462</v>
      </c>
      <c r="Q6" s="433">
        <v>226558</v>
      </c>
      <c r="R6" s="433">
        <v>249246</v>
      </c>
      <c r="S6" s="433">
        <v>263014</v>
      </c>
      <c r="T6" s="433">
        <v>263527</v>
      </c>
      <c r="U6" s="433">
        <v>248611</v>
      </c>
      <c r="V6" s="433">
        <v>230410</v>
      </c>
      <c r="W6" s="433">
        <v>162998</v>
      </c>
      <c r="X6" s="433">
        <v>141070</v>
      </c>
      <c r="Y6" s="433">
        <v>147726</v>
      </c>
      <c r="Z6" s="433">
        <v>119622</v>
      </c>
      <c r="AA6" s="433">
        <v>104884</v>
      </c>
      <c r="AB6" s="433">
        <v>115769</v>
      </c>
      <c r="AC6" s="433">
        <v>138303</v>
      </c>
      <c r="AD6" s="433">
        <v>173980</v>
      </c>
      <c r="AE6" s="433">
        <v>191453</v>
      </c>
      <c r="AF6" s="433">
        <v>207182</v>
      </c>
      <c r="AG6" s="433">
        <v>216155</v>
      </c>
      <c r="AH6" s="433">
        <v>212167</v>
      </c>
    </row>
    <row r="7" spans="1:34" s="50" customFormat="1" ht="15" customHeight="1">
      <c r="A7" s="52" t="s">
        <v>352</v>
      </c>
      <c r="B7" s="53">
        <v>39537</v>
      </c>
      <c r="C7" s="53">
        <v>45840</v>
      </c>
      <c r="D7" s="53">
        <v>50343</v>
      </c>
      <c r="E7" s="53">
        <v>47896</v>
      </c>
      <c r="F7" s="53">
        <v>44998</v>
      </c>
      <c r="G7" s="11">
        <v>44806</v>
      </c>
      <c r="H7" s="11">
        <v>30490</v>
      </c>
      <c r="I7" s="11">
        <v>31601</v>
      </c>
      <c r="J7" s="11">
        <v>33193</v>
      </c>
      <c r="K7" s="21">
        <v>34668</v>
      </c>
      <c r="L7" s="21">
        <f aca="true" t="shared" si="0" ref="L7:R7">SUM(L8:L9)</f>
        <v>42767</v>
      </c>
      <c r="M7" s="21">
        <f t="shared" si="0"/>
        <v>47024</v>
      </c>
      <c r="N7" s="21">
        <f t="shared" si="0"/>
        <v>54691</v>
      </c>
      <c r="O7" s="21">
        <f t="shared" si="0"/>
        <v>52307</v>
      </c>
      <c r="P7" s="21">
        <f t="shared" si="0"/>
        <v>46984</v>
      </c>
      <c r="Q7" s="21">
        <f t="shared" si="0"/>
        <v>45350</v>
      </c>
      <c r="R7" s="21">
        <f t="shared" si="0"/>
        <v>50144</v>
      </c>
      <c r="S7" s="150">
        <f aca="true" t="shared" si="1" ref="S7:AE7">SUM(S8:S9)</f>
        <v>55597</v>
      </c>
      <c r="T7" s="150">
        <f t="shared" si="1"/>
        <v>64065</v>
      </c>
      <c r="U7" s="150">
        <f t="shared" si="1"/>
        <v>65028</v>
      </c>
      <c r="V7" s="150">
        <f t="shared" si="1"/>
        <v>62628</v>
      </c>
      <c r="W7" s="150">
        <f t="shared" si="1"/>
        <v>32776</v>
      </c>
      <c r="X7" s="150">
        <f t="shared" si="1"/>
        <v>22923</v>
      </c>
      <c r="Y7" s="150">
        <f t="shared" si="1"/>
        <v>22711</v>
      </c>
      <c r="Z7" s="150">
        <f t="shared" si="1"/>
        <v>20300</v>
      </c>
      <c r="AA7" s="150">
        <f t="shared" si="1"/>
        <v>16267</v>
      </c>
      <c r="AB7" s="150">
        <f t="shared" si="1"/>
        <v>16887</v>
      </c>
      <c r="AC7" s="150">
        <f t="shared" si="1"/>
        <v>21715</v>
      </c>
      <c r="AD7" s="150">
        <f t="shared" si="1"/>
        <v>29294</v>
      </c>
      <c r="AE7" s="150">
        <f t="shared" si="1"/>
        <v>31077</v>
      </c>
      <c r="AF7" s="150">
        <f>SUM(AF8:AF9)</f>
        <v>32452</v>
      </c>
      <c r="AG7" s="150">
        <f>SUM(AG8:AG9)</f>
        <v>36787</v>
      </c>
      <c r="AH7" s="150">
        <f>SUM(AH8:AH9)</f>
        <v>31673</v>
      </c>
    </row>
    <row r="8" spans="1:34" s="50" customFormat="1" ht="12">
      <c r="A8" s="434" t="s">
        <v>353</v>
      </c>
      <c r="B8" s="435">
        <v>243</v>
      </c>
      <c r="C8" s="435">
        <v>360</v>
      </c>
      <c r="D8" s="435">
        <v>435</v>
      </c>
      <c r="E8" s="435">
        <v>341</v>
      </c>
      <c r="F8" s="435">
        <v>428</v>
      </c>
      <c r="G8" s="436">
        <v>406</v>
      </c>
      <c r="H8" s="436">
        <v>187</v>
      </c>
      <c r="I8" s="436">
        <v>140</v>
      </c>
      <c r="J8" s="436">
        <v>242</v>
      </c>
      <c r="K8" s="437">
        <v>416</v>
      </c>
      <c r="L8" s="437">
        <f>345+48+22+33</f>
        <v>448</v>
      </c>
      <c r="M8" s="437">
        <v>365</v>
      </c>
      <c r="N8" s="437">
        <v>459</v>
      </c>
      <c r="O8" s="438">
        <v>335</v>
      </c>
      <c r="P8" s="438">
        <v>533</v>
      </c>
      <c r="Q8" s="438">
        <v>488</v>
      </c>
      <c r="R8" s="438">
        <v>424</v>
      </c>
      <c r="S8" s="438">
        <v>447</v>
      </c>
      <c r="T8" s="438">
        <v>629</v>
      </c>
      <c r="U8" s="438">
        <v>631</v>
      </c>
      <c r="V8" s="438">
        <v>702</v>
      </c>
      <c r="W8" s="438">
        <v>643</v>
      </c>
      <c r="X8" s="438">
        <v>484</v>
      </c>
      <c r="Y8" s="439">
        <v>377</v>
      </c>
      <c r="Z8" s="439">
        <v>368</v>
      </c>
      <c r="AA8" s="439">
        <v>235</v>
      </c>
      <c r="AB8" s="439">
        <v>231</v>
      </c>
      <c r="AC8" s="439">
        <v>347</v>
      </c>
      <c r="AD8" s="439">
        <v>437</v>
      </c>
      <c r="AE8" s="439">
        <v>464</v>
      </c>
      <c r="AF8" s="439">
        <v>527</v>
      </c>
      <c r="AG8" s="439">
        <v>590</v>
      </c>
      <c r="AH8" s="439">
        <v>735</v>
      </c>
    </row>
    <row r="9" spans="1:34" s="50" customFormat="1" ht="12">
      <c r="A9" s="434" t="s">
        <v>354</v>
      </c>
      <c r="B9" s="435">
        <v>39294</v>
      </c>
      <c r="C9" s="435">
        <v>45480</v>
      </c>
      <c r="D9" s="435">
        <v>49908</v>
      </c>
      <c r="E9" s="435">
        <v>47555</v>
      </c>
      <c r="F9" s="435">
        <v>44570</v>
      </c>
      <c r="G9" s="436">
        <v>44400</v>
      </c>
      <c r="H9" s="436">
        <v>30303</v>
      </c>
      <c r="I9" s="436">
        <v>31461</v>
      </c>
      <c r="J9" s="436">
        <v>32951</v>
      </c>
      <c r="K9" s="437">
        <v>34252</v>
      </c>
      <c r="L9" s="437">
        <f>30362+4927+2254+4776</f>
        <v>42319</v>
      </c>
      <c r="M9" s="437">
        <v>46659</v>
      </c>
      <c r="N9" s="437">
        <v>54232</v>
      </c>
      <c r="O9" s="438">
        <v>51972</v>
      </c>
      <c r="P9" s="438">
        <v>46451</v>
      </c>
      <c r="Q9" s="438">
        <v>44862</v>
      </c>
      <c r="R9" s="438">
        <v>49720</v>
      </c>
      <c r="S9" s="438">
        <v>55150</v>
      </c>
      <c r="T9" s="438">
        <v>63436</v>
      </c>
      <c r="U9" s="438">
        <f>60660+3737</f>
        <v>64397</v>
      </c>
      <c r="V9" s="438">
        <v>61926</v>
      </c>
      <c r="W9" s="438">
        <v>32133</v>
      </c>
      <c r="X9" s="438">
        <v>22439</v>
      </c>
      <c r="Y9" s="438">
        <v>22334</v>
      </c>
      <c r="Z9" s="438">
        <v>19932</v>
      </c>
      <c r="AA9" s="438">
        <v>16032</v>
      </c>
      <c r="AB9" s="438">
        <v>16656</v>
      </c>
      <c r="AC9" s="438">
        <v>21368</v>
      </c>
      <c r="AD9" s="438">
        <v>28857</v>
      </c>
      <c r="AE9" s="438">
        <v>30613</v>
      </c>
      <c r="AF9" s="438">
        <v>31925</v>
      </c>
      <c r="AG9" s="438">
        <v>36197</v>
      </c>
      <c r="AH9" s="438">
        <v>30938</v>
      </c>
    </row>
    <row r="10" spans="1:34" s="50" customFormat="1" ht="15" customHeight="1">
      <c r="A10" s="429" t="s">
        <v>1100</v>
      </c>
      <c r="B10" s="430">
        <v>17724</v>
      </c>
      <c r="C10" s="430">
        <v>23340</v>
      </c>
      <c r="D10" s="430">
        <v>30092</v>
      </c>
      <c r="E10" s="430">
        <v>33021</v>
      </c>
      <c r="F10" s="430">
        <v>34458</v>
      </c>
      <c r="G10" s="431">
        <v>30256</v>
      </c>
      <c r="H10" s="431">
        <v>15648</v>
      </c>
      <c r="I10" s="431">
        <v>11123</v>
      </c>
      <c r="J10" s="431">
        <v>10780</v>
      </c>
      <c r="K10" s="432">
        <v>10095</v>
      </c>
      <c r="L10" s="432">
        <f>11811+1189+279+912</f>
        <v>14191</v>
      </c>
      <c r="M10" s="432">
        <v>18952</v>
      </c>
      <c r="N10" s="432">
        <v>21584</v>
      </c>
      <c r="O10" s="433">
        <v>21637</v>
      </c>
      <c r="P10" s="433">
        <v>19790</v>
      </c>
      <c r="Q10" s="433">
        <v>18244</v>
      </c>
      <c r="R10" s="433">
        <v>23289</v>
      </c>
      <c r="S10" s="433">
        <v>33633</v>
      </c>
      <c r="T10" s="433">
        <v>54417</v>
      </c>
      <c r="U10" s="433">
        <v>63887</v>
      </c>
      <c r="V10" s="433">
        <v>62745</v>
      </c>
      <c r="W10" s="433">
        <v>49865</v>
      </c>
      <c r="X10" s="433">
        <v>35880</v>
      </c>
      <c r="Y10" s="433">
        <v>38511</v>
      </c>
      <c r="Z10" s="433">
        <v>32797</v>
      </c>
      <c r="AA10" s="433">
        <v>27766</v>
      </c>
      <c r="AB10" s="433">
        <v>27507</v>
      </c>
      <c r="AC10" s="433">
        <v>31832</v>
      </c>
      <c r="AD10" s="433">
        <v>37458</v>
      </c>
      <c r="AE10" s="433">
        <v>44864</v>
      </c>
      <c r="AF10" s="433">
        <v>37978</v>
      </c>
      <c r="AG10" s="433">
        <v>42935</v>
      </c>
      <c r="AH10" s="433">
        <v>45709</v>
      </c>
    </row>
    <row r="11" spans="1:34" s="50" customFormat="1" ht="15" customHeight="1">
      <c r="A11" s="52" t="s">
        <v>355</v>
      </c>
      <c r="B11" s="53">
        <v>478</v>
      </c>
      <c r="C11" s="53">
        <v>816</v>
      </c>
      <c r="D11" s="53">
        <v>1562</v>
      </c>
      <c r="E11" s="53">
        <v>1335</v>
      </c>
      <c r="F11" s="53">
        <v>1154</v>
      </c>
      <c r="G11" s="11">
        <v>852</v>
      </c>
      <c r="H11" s="11">
        <v>487</v>
      </c>
      <c r="I11" s="11">
        <v>788</v>
      </c>
      <c r="J11" s="11">
        <v>1485</v>
      </c>
      <c r="K11" s="21">
        <v>1451</v>
      </c>
      <c r="L11" s="21">
        <f>1101+255+307+299</f>
        <v>1962</v>
      </c>
      <c r="M11" s="21">
        <v>2354</v>
      </c>
      <c r="N11" s="21">
        <v>2728</v>
      </c>
      <c r="O11" s="150">
        <v>2698</v>
      </c>
      <c r="P11" s="150">
        <v>2727</v>
      </c>
      <c r="Q11" s="150">
        <v>2686</v>
      </c>
      <c r="R11" s="150">
        <v>3067</v>
      </c>
      <c r="S11" s="150">
        <v>2903</v>
      </c>
      <c r="T11" s="150">
        <v>2974</v>
      </c>
      <c r="U11" s="150">
        <v>2965</v>
      </c>
      <c r="V11" s="150">
        <v>3367</v>
      </c>
      <c r="W11" s="150">
        <v>2518</v>
      </c>
      <c r="X11" s="150">
        <v>728</v>
      </c>
      <c r="Y11" s="150">
        <v>976</v>
      </c>
      <c r="Z11" s="150">
        <v>1313</v>
      </c>
      <c r="AA11" s="150">
        <v>1271</v>
      </c>
      <c r="AB11" s="150">
        <v>1316</v>
      </c>
      <c r="AC11" s="150">
        <v>1594</v>
      </c>
      <c r="AD11" s="150">
        <v>2152</v>
      </c>
      <c r="AE11" s="150">
        <v>2449</v>
      </c>
      <c r="AF11" s="150">
        <v>2186</v>
      </c>
      <c r="AG11" s="150">
        <v>1828</v>
      </c>
      <c r="AH11" s="150">
        <v>1962</v>
      </c>
    </row>
    <row r="12" spans="1:34" s="50" customFormat="1" ht="15" customHeight="1">
      <c r="A12" s="429" t="s">
        <v>1103</v>
      </c>
      <c r="B12" s="430">
        <v>0</v>
      </c>
      <c r="C12" s="430">
        <v>0</v>
      </c>
      <c r="D12" s="430">
        <v>0</v>
      </c>
      <c r="E12" s="430">
        <v>0</v>
      </c>
      <c r="F12" s="430">
        <v>0</v>
      </c>
      <c r="G12" s="431">
        <v>0</v>
      </c>
      <c r="H12" s="431">
        <v>0</v>
      </c>
      <c r="I12" s="431">
        <v>0</v>
      </c>
      <c r="J12" s="431">
        <v>0</v>
      </c>
      <c r="K12" s="431">
        <v>0</v>
      </c>
      <c r="L12" s="431">
        <v>0</v>
      </c>
      <c r="M12" s="432">
        <v>500</v>
      </c>
      <c r="N12" s="432">
        <v>490</v>
      </c>
      <c r="O12" s="433">
        <v>592</v>
      </c>
      <c r="P12" s="433">
        <v>623</v>
      </c>
      <c r="Q12" s="433">
        <v>775</v>
      </c>
      <c r="R12" s="433">
        <v>956</v>
      </c>
      <c r="S12" s="433">
        <v>1110</v>
      </c>
      <c r="T12" s="433">
        <v>1416</v>
      </c>
      <c r="U12" s="433">
        <v>1913</v>
      </c>
      <c r="V12" s="433">
        <v>1793</v>
      </c>
      <c r="W12" s="433">
        <v>812</v>
      </c>
      <c r="X12" s="433">
        <v>732</v>
      </c>
      <c r="Y12" s="433">
        <v>733</v>
      </c>
      <c r="Z12" s="433">
        <v>591</v>
      </c>
      <c r="AA12" s="433">
        <v>399</v>
      </c>
      <c r="AB12" s="433">
        <v>405</v>
      </c>
      <c r="AC12" s="433">
        <v>457</v>
      </c>
      <c r="AD12" s="433">
        <v>672</v>
      </c>
      <c r="AE12" s="433">
        <v>911</v>
      </c>
      <c r="AF12" s="433">
        <v>1520</v>
      </c>
      <c r="AG12" s="433">
        <v>1950</v>
      </c>
      <c r="AH12" s="433">
        <v>2431</v>
      </c>
    </row>
    <row r="13" spans="1:18" s="50" customFormat="1" ht="12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0"/>
      <c r="P13" s="150"/>
      <c r="Q13" s="150"/>
      <c r="R13" s="150"/>
    </row>
    <row r="14" spans="1:34" s="161" customFormat="1" ht="18" customHeight="1">
      <c r="A14" s="425" t="s">
        <v>1104</v>
      </c>
      <c r="B14" s="426">
        <v>242617</v>
      </c>
      <c r="C14" s="426">
        <v>284904</v>
      </c>
      <c r="D14" s="426">
        <v>309518</v>
      </c>
      <c r="E14" s="426">
        <v>267359</v>
      </c>
      <c r="F14" s="426">
        <v>240552</v>
      </c>
      <c r="G14" s="427">
        <v>249272</v>
      </c>
      <c r="H14" s="427">
        <v>177508</v>
      </c>
      <c r="I14" s="427">
        <v>201340</v>
      </c>
      <c r="J14" s="427">
        <v>192892</v>
      </c>
      <c r="K14" s="428">
        <f>SUM(K6,K7,K10,K11)</f>
        <v>208518</v>
      </c>
      <c r="L14" s="428">
        <f>SUM(L6,L7,L10,L11)</f>
        <v>251549</v>
      </c>
      <c r="M14" s="428">
        <f aca="true" t="shared" si="2" ref="M14:S14">M6+M8+M9+M10+M11+M12</f>
        <v>299134</v>
      </c>
      <c r="N14" s="428">
        <f t="shared" si="2"/>
        <v>343708</v>
      </c>
      <c r="O14" s="428">
        <f t="shared" si="2"/>
        <v>328456</v>
      </c>
      <c r="P14" s="428">
        <f t="shared" si="2"/>
        <v>318586</v>
      </c>
      <c r="Q14" s="428">
        <f t="shared" si="2"/>
        <v>293613</v>
      </c>
      <c r="R14" s="428">
        <f t="shared" si="2"/>
        <v>326702</v>
      </c>
      <c r="S14" s="428">
        <f t="shared" si="2"/>
        <v>356257</v>
      </c>
      <c r="T14" s="428">
        <f aca="true" t="shared" si="3" ref="T14:Y14">T6+T8+T9+T10+T11+T12</f>
        <v>386399</v>
      </c>
      <c r="U14" s="428">
        <f t="shared" si="3"/>
        <v>382404</v>
      </c>
      <c r="V14" s="428">
        <f t="shared" si="3"/>
        <v>360943</v>
      </c>
      <c r="W14" s="428">
        <f t="shared" si="3"/>
        <v>248969</v>
      </c>
      <c r="X14" s="428">
        <f t="shared" si="3"/>
        <v>201333</v>
      </c>
      <c r="Y14" s="428">
        <f t="shared" si="3"/>
        <v>210657</v>
      </c>
      <c r="Z14" s="428">
        <f aca="true" t="shared" si="4" ref="Z14:AE14">Z6+Z8+Z9+Z10+Z11+Z12</f>
        <v>174623</v>
      </c>
      <c r="AA14" s="428">
        <f t="shared" si="4"/>
        <v>150587</v>
      </c>
      <c r="AB14" s="428">
        <f t="shared" si="4"/>
        <v>161884</v>
      </c>
      <c r="AC14" s="428">
        <f t="shared" si="4"/>
        <v>193901</v>
      </c>
      <c r="AD14" s="428">
        <f t="shared" si="4"/>
        <v>243556</v>
      </c>
      <c r="AE14" s="428">
        <f t="shared" si="4"/>
        <v>270754</v>
      </c>
      <c r="AF14" s="428">
        <f>AF6+AF8+AF9+AF10+AF11+AF12</f>
        <v>281318</v>
      </c>
      <c r="AG14" s="428">
        <f>AG6+AG8+AG9+AG10+AG11+AG12</f>
        <v>299655</v>
      </c>
      <c r="AH14" s="428">
        <f>AH6+AH8+AH9+AH10+AH11+AH12</f>
        <v>293942</v>
      </c>
    </row>
    <row r="15" spans="1:18" s="50" customFormat="1" ht="12">
      <c r="A15" s="10"/>
      <c r="B15" s="2"/>
      <c r="C15" s="2"/>
      <c r="D15" s="2"/>
      <c r="E15" s="2"/>
      <c r="F15" s="2"/>
      <c r="G15" s="21"/>
      <c r="H15" s="21"/>
      <c r="I15" s="21"/>
      <c r="J15" s="21"/>
      <c r="K15" s="21"/>
      <c r="L15" s="21"/>
      <c r="M15" s="21"/>
      <c r="N15" s="21"/>
      <c r="O15" s="150"/>
      <c r="P15" s="150"/>
      <c r="Q15" s="150"/>
      <c r="R15" s="150"/>
    </row>
    <row r="16" spans="1:34" s="50" customFormat="1" ht="15" customHeight="1">
      <c r="A16" s="429" t="s">
        <v>1105</v>
      </c>
      <c r="B16" s="430">
        <v>184450</v>
      </c>
      <c r="C16" s="430">
        <v>217536</v>
      </c>
      <c r="D16" s="430">
        <v>236741</v>
      </c>
      <c r="E16" s="430">
        <v>203878</v>
      </c>
      <c r="F16" s="430">
        <v>185479</v>
      </c>
      <c r="G16" s="431">
        <v>192637</v>
      </c>
      <c r="H16" s="431">
        <v>135937</v>
      </c>
      <c r="I16" s="431">
        <v>152841</v>
      </c>
      <c r="J16" s="431">
        <v>146185</v>
      </c>
      <c r="K16" s="432">
        <v>158053</v>
      </c>
      <c r="L16" s="432">
        <v>191161</v>
      </c>
      <c r="M16" s="432">
        <v>226203</v>
      </c>
      <c r="N16" s="432">
        <v>258954</v>
      </c>
      <c r="O16" s="433">
        <v>250928</v>
      </c>
      <c r="P16" s="433">
        <v>242467</v>
      </c>
      <c r="Q16" s="433">
        <v>222464</v>
      </c>
      <c r="R16" s="433">
        <v>251132</v>
      </c>
      <c r="S16" s="433">
        <v>269386</v>
      </c>
      <c r="T16" s="433">
        <v>290048</v>
      </c>
      <c r="U16" s="433">
        <v>284546</v>
      </c>
      <c r="V16" s="433">
        <v>267893</v>
      </c>
      <c r="W16" s="433">
        <v>189170</v>
      </c>
      <c r="X16" s="433">
        <v>153777</v>
      </c>
      <c r="Y16" s="433">
        <v>162545</v>
      </c>
      <c r="Z16" s="433">
        <v>136389</v>
      </c>
      <c r="AA16" s="433">
        <v>117716</v>
      </c>
      <c r="AB16" s="433">
        <v>126371</v>
      </c>
      <c r="AC16" s="433">
        <v>152976</v>
      </c>
      <c r="AD16" s="433">
        <v>191672</v>
      </c>
      <c r="AE16" s="433">
        <v>213722</v>
      </c>
      <c r="AF16" s="433">
        <v>223170</v>
      </c>
      <c r="AG16" s="433">
        <v>236308</v>
      </c>
      <c r="AH16" s="433">
        <v>232910</v>
      </c>
    </row>
    <row r="17" spans="1:34" s="50" customFormat="1" ht="15" customHeight="1">
      <c r="A17" s="52" t="s">
        <v>974</v>
      </c>
      <c r="B17" s="53">
        <v>25949</v>
      </c>
      <c r="C17" s="53">
        <v>29520</v>
      </c>
      <c r="D17" s="53">
        <v>30743</v>
      </c>
      <c r="E17" s="53">
        <v>26056</v>
      </c>
      <c r="F17" s="53">
        <v>22282</v>
      </c>
      <c r="G17" s="11">
        <v>23304</v>
      </c>
      <c r="H17" s="11">
        <v>17416</v>
      </c>
      <c r="I17" s="11">
        <v>19836</v>
      </c>
      <c r="J17" s="11">
        <v>19364</v>
      </c>
      <c r="K17" s="21">
        <v>21171</v>
      </c>
      <c r="L17" s="21">
        <v>25389</v>
      </c>
      <c r="M17" s="21">
        <v>30561</v>
      </c>
      <c r="N17" s="21">
        <v>35077</v>
      </c>
      <c r="O17" s="150">
        <v>32394</v>
      </c>
      <c r="P17" s="150">
        <v>32126</v>
      </c>
      <c r="Q17" s="150">
        <v>29802</v>
      </c>
      <c r="R17" s="150">
        <v>31651</v>
      </c>
      <c r="S17" s="150">
        <v>36412</v>
      </c>
      <c r="T17" s="150">
        <v>40269</v>
      </c>
      <c r="U17" s="150">
        <v>40371</v>
      </c>
      <c r="V17" s="150">
        <v>38502</v>
      </c>
      <c r="W17" s="150">
        <v>24800</v>
      </c>
      <c r="X17" s="150">
        <v>19987</v>
      </c>
      <c r="Y17" s="150">
        <v>20314</v>
      </c>
      <c r="Z17" s="150">
        <v>17104</v>
      </c>
      <c r="AA17" s="150">
        <v>14557</v>
      </c>
      <c r="AB17" s="150">
        <v>15724</v>
      </c>
      <c r="AC17" s="150">
        <v>18249</v>
      </c>
      <c r="AD17" s="150">
        <v>23116</v>
      </c>
      <c r="AE17" s="150">
        <v>25257</v>
      </c>
      <c r="AF17" s="150">
        <v>24314</v>
      </c>
      <c r="AG17" s="150">
        <v>26120</v>
      </c>
      <c r="AH17" s="150">
        <v>24374</v>
      </c>
    </row>
    <row r="18" spans="1:34" s="50" customFormat="1" ht="15" customHeight="1">
      <c r="A18" s="429" t="s">
        <v>975</v>
      </c>
      <c r="B18" s="430">
        <v>12191</v>
      </c>
      <c r="C18" s="430">
        <v>14112</v>
      </c>
      <c r="D18" s="430">
        <v>15685</v>
      </c>
      <c r="E18" s="430">
        <v>13998</v>
      </c>
      <c r="F18" s="430">
        <v>12528</v>
      </c>
      <c r="G18" s="431">
        <v>13138</v>
      </c>
      <c r="H18" s="431">
        <v>9608</v>
      </c>
      <c r="I18" s="431">
        <v>10448</v>
      </c>
      <c r="J18" s="431">
        <v>9899</v>
      </c>
      <c r="K18" s="432">
        <v>10757</v>
      </c>
      <c r="L18" s="432">
        <v>12149</v>
      </c>
      <c r="M18" s="432">
        <v>14818</v>
      </c>
      <c r="N18" s="432">
        <v>17060</v>
      </c>
      <c r="O18" s="433">
        <v>14623</v>
      </c>
      <c r="P18" s="433">
        <v>14497</v>
      </c>
      <c r="Q18" s="433">
        <v>13713</v>
      </c>
      <c r="R18" s="433">
        <v>14250</v>
      </c>
      <c r="S18" s="433">
        <v>15897</v>
      </c>
      <c r="T18" s="433">
        <v>17478</v>
      </c>
      <c r="U18" s="433">
        <v>17867</v>
      </c>
      <c r="V18" s="433">
        <v>17625</v>
      </c>
      <c r="W18" s="433">
        <v>11768</v>
      </c>
      <c r="X18" s="433">
        <v>9435</v>
      </c>
      <c r="Y18" s="433">
        <v>9119</v>
      </c>
      <c r="Z18" s="433">
        <v>6795</v>
      </c>
      <c r="AA18" s="433">
        <v>5830</v>
      </c>
      <c r="AB18" s="433">
        <v>6184</v>
      </c>
      <c r="AC18" s="433">
        <v>7545</v>
      </c>
      <c r="AD18" s="433">
        <v>9929</v>
      </c>
      <c r="AE18" s="433">
        <v>10973</v>
      </c>
      <c r="AF18" s="433">
        <v>11578</v>
      </c>
      <c r="AG18" s="433">
        <v>12659</v>
      </c>
      <c r="AH18" s="433">
        <v>12644</v>
      </c>
    </row>
    <row r="19" spans="1:34" s="50" customFormat="1" ht="15" customHeight="1">
      <c r="A19" s="27" t="s">
        <v>976</v>
      </c>
      <c r="B19" s="55">
        <v>20027</v>
      </c>
      <c r="C19" s="55">
        <v>23736</v>
      </c>
      <c r="D19" s="55">
        <v>26349</v>
      </c>
      <c r="E19" s="55">
        <v>23427</v>
      </c>
      <c r="F19" s="55">
        <v>20263</v>
      </c>
      <c r="G19" s="159">
        <v>20193</v>
      </c>
      <c r="H19" s="159">
        <v>14547</v>
      </c>
      <c r="I19" s="159">
        <v>18215</v>
      </c>
      <c r="J19" s="159">
        <v>17444</v>
      </c>
      <c r="K19" s="21">
        <v>18537</v>
      </c>
      <c r="L19" s="21">
        <v>22850</v>
      </c>
      <c r="M19" s="21">
        <v>27552</v>
      </c>
      <c r="N19" s="21">
        <v>32617</v>
      </c>
      <c r="O19" s="150">
        <v>30511</v>
      </c>
      <c r="P19" s="150">
        <v>29496</v>
      </c>
      <c r="Q19" s="150">
        <v>27634</v>
      </c>
      <c r="R19" s="150">
        <v>29669</v>
      </c>
      <c r="S19" s="150">
        <v>34565</v>
      </c>
      <c r="T19" s="150">
        <v>38604</v>
      </c>
      <c r="U19" s="150">
        <v>39620</v>
      </c>
      <c r="V19" s="150">
        <v>36923</v>
      </c>
      <c r="W19" s="150">
        <v>23232</v>
      </c>
      <c r="X19" s="150">
        <v>18134</v>
      </c>
      <c r="Y19" s="150">
        <v>18679</v>
      </c>
      <c r="Z19" s="150">
        <v>14335</v>
      </c>
      <c r="AA19" s="150">
        <v>12484</v>
      </c>
      <c r="AB19" s="150">
        <v>13605</v>
      </c>
      <c r="AC19" s="150">
        <v>15131</v>
      </c>
      <c r="AD19" s="150">
        <v>18839</v>
      </c>
      <c r="AE19" s="150">
        <v>20802</v>
      </c>
      <c r="AF19" s="150">
        <v>22256</v>
      </c>
      <c r="AG19" s="150">
        <v>24568</v>
      </c>
      <c r="AH19" s="150">
        <v>24014</v>
      </c>
    </row>
    <row r="20" spans="1:34" s="50" customFormat="1" ht="12">
      <c r="A20" s="24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49"/>
      <c r="P20" s="149"/>
      <c r="Q20" s="149"/>
      <c r="R20" s="149"/>
      <c r="S20" s="149"/>
      <c r="T20" s="232"/>
      <c r="U20" s="232"/>
      <c r="V20" s="232"/>
      <c r="W20" s="232"/>
      <c r="X20" s="232"/>
      <c r="Y20" s="149"/>
      <c r="Z20" s="232"/>
      <c r="AA20" s="232"/>
      <c r="AB20" s="232"/>
      <c r="AC20" s="232"/>
      <c r="AD20" s="232"/>
      <c r="AE20" s="232"/>
      <c r="AF20" s="232"/>
      <c r="AG20" s="232"/>
      <c r="AH20" s="232"/>
    </row>
    <row r="21" spans="1:28" s="50" customFormat="1" ht="12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S21" s="150"/>
      <c r="Z21" s="150"/>
      <c r="AA21" s="150"/>
      <c r="AB21" s="150"/>
    </row>
    <row r="22" spans="1:28" s="50" customFormat="1" ht="12">
      <c r="A22" s="336" t="s">
        <v>292</v>
      </c>
      <c r="B22" s="10"/>
      <c r="C22" s="10"/>
      <c r="D22" s="10"/>
      <c r="E22" s="10"/>
      <c r="F22" s="10"/>
      <c r="G22" s="10"/>
      <c r="H22" s="10"/>
      <c r="I22" s="53"/>
      <c r="J22" s="2"/>
      <c r="K22" s="54"/>
      <c r="L22" s="54"/>
      <c r="O22" s="150"/>
      <c r="Q22" s="150"/>
      <c r="R22" s="150"/>
      <c r="AB22" s="150"/>
    </row>
    <row r="23" ht="6.75" customHeight="1"/>
    <row r="24" ht="12.75">
      <c r="A24" s="328" t="s">
        <v>1106</v>
      </c>
    </row>
  </sheetData>
  <sheetProtection/>
  <printOptions/>
  <pageMargins left="0.1968503937007874" right="0.1968503937007874" top="0.5511811023622047" bottom="0" header="0" footer="0"/>
  <pageSetup horizontalDpi="600" verticalDpi="600" orientation="landscape" paperSize="9" scale="86" r:id="rId1"/>
  <ignoredErrors>
    <ignoredError sqref="N7:AA12 AB7:AH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PageLayoutView="0" workbookViewId="0" topLeftCell="A1">
      <selection activeCell="G19" sqref="G19"/>
    </sheetView>
  </sheetViews>
  <sheetFormatPr defaultColWidth="12.57421875" defaultRowHeight="12" customHeight="1"/>
  <cols>
    <col min="1" max="1" width="34.57421875" style="37" customWidth="1"/>
    <col min="2" max="3" width="9.7109375" style="37" customWidth="1"/>
    <col min="4" max="6" width="11.7109375" style="37" customWidth="1"/>
    <col min="7" max="7" width="8.7109375" style="37" customWidth="1"/>
    <col min="8" max="8" width="10.7109375" style="37" customWidth="1"/>
    <col min="9" max="16384" width="12.57421875" style="37" customWidth="1"/>
  </cols>
  <sheetData>
    <row r="1" spans="1:8" ht="15" customHeight="1">
      <c r="A1" s="1" t="s">
        <v>1310</v>
      </c>
      <c r="B1" s="57"/>
      <c r="C1" s="57"/>
      <c r="D1" s="57"/>
      <c r="E1" s="57"/>
      <c r="F1" s="57"/>
      <c r="G1" s="57"/>
      <c r="H1" s="58"/>
    </row>
    <row r="2" spans="1:8" ht="12" customHeight="1">
      <c r="A2" s="59"/>
      <c r="B2" s="60"/>
      <c r="C2" s="60"/>
      <c r="D2" s="60"/>
      <c r="E2" s="60"/>
      <c r="F2" s="60"/>
      <c r="G2" s="60"/>
      <c r="H2" s="61"/>
    </row>
    <row r="3" spans="1:8" ht="12" customHeight="1">
      <c r="A3" s="62"/>
      <c r="B3" s="63"/>
      <c r="C3" s="63"/>
      <c r="D3" s="63"/>
      <c r="E3" s="63"/>
      <c r="F3" s="63"/>
      <c r="G3" s="63"/>
      <c r="H3" s="63"/>
    </row>
    <row r="4" spans="1:8" ht="12" customHeight="1">
      <c r="A4" s="440"/>
      <c r="B4" s="441"/>
      <c r="C4" s="441"/>
      <c r="D4" s="442" t="s">
        <v>1096</v>
      </c>
      <c r="E4" s="442" t="s">
        <v>357</v>
      </c>
      <c r="F4" s="442" t="s">
        <v>1098</v>
      </c>
      <c r="G4" s="441"/>
      <c r="H4" s="441"/>
    </row>
    <row r="5" spans="1:8" ht="12" customHeight="1">
      <c r="A5" s="443"/>
      <c r="B5" s="444" t="s">
        <v>1099</v>
      </c>
      <c r="C5" s="444" t="s">
        <v>1311</v>
      </c>
      <c r="D5" s="444" t="s">
        <v>1101</v>
      </c>
      <c r="E5" s="444" t="s">
        <v>358</v>
      </c>
      <c r="F5" s="444" t="s">
        <v>1102</v>
      </c>
      <c r="G5" s="444" t="s">
        <v>1103</v>
      </c>
      <c r="H5" s="444" t="s">
        <v>1104</v>
      </c>
    </row>
    <row r="6" spans="1:8" ht="12" customHeight="1">
      <c r="A6" s="270"/>
      <c r="B6" s="63"/>
      <c r="C6" s="63"/>
      <c r="D6" s="63"/>
      <c r="E6" s="63"/>
      <c r="F6" s="63"/>
      <c r="G6" s="63"/>
      <c r="H6" s="63"/>
    </row>
    <row r="7" spans="1:8" ht="12" customHeight="1">
      <c r="A7" s="510" t="s">
        <v>359</v>
      </c>
      <c r="B7" s="511">
        <f aca="true" t="shared" si="0" ref="B7:H7">SUM(B8:B11)</f>
        <v>216151</v>
      </c>
      <c r="C7" s="511">
        <f t="shared" si="0"/>
        <v>47559</v>
      </c>
      <c r="D7" s="511">
        <f t="shared" si="0"/>
        <v>36206</v>
      </c>
      <c r="E7" s="511">
        <f t="shared" si="0"/>
        <v>590</v>
      </c>
      <c r="F7" s="511">
        <f t="shared" si="0"/>
        <v>1830</v>
      </c>
      <c r="G7" s="511">
        <f t="shared" si="0"/>
        <v>5141</v>
      </c>
      <c r="H7" s="511">
        <f t="shared" si="0"/>
        <v>307477</v>
      </c>
    </row>
    <row r="8" spans="1:8" ht="12" customHeight="1">
      <c r="A8" s="64" t="s">
        <v>1105</v>
      </c>
      <c r="B8" s="11">
        <v>170163</v>
      </c>
      <c r="C8" s="339">
        <v>38694</v>
      </c>
      <c r="D8" s="339">
        <v>28563</v>
      </c>
      <c r="E8" s="339">
        <v>451</v>
      </c>
      <c r="F8" s="339">
        <v>823</v>
      </c>
      <c r="G8" s="339">
        <v>3409</v>
      </c>
      <c r="H8" s="73">
        <f>SUM(B8:G8)</f>
        <v>242103</v>
      </c>
    </row>
    <row r="9" spans="1:8" ht="12" customHeight="1">
      <c r="A9" s="512" t="s">
        <v>974</v>
      </c>
      <c r="B9" s="431">
        <v>18285</v>
      </c>
      <c r="C9" s="514">
        <v>4574</v>
      </c>
      <c r="D9" s="514">
        <v>3087</v>
      </c>
      <c r="E9" s="514">
        <v>62</v>
      </c>
      <c r="F9" s="514">
        <v>285</v>
      </c>
      <c r="G9" s="514">
        <v>497</v>
      </c>
      <c r="H9" s="513">
        <f>SUM(B9:G9)</f>
        <v>26790</v>
      </c>
    </row>
    <row r="10" spans="1:8" ht="12" customHeight="1">
      <c r="A10" s="64" t="s">
        <v>975</v>
      </c>
      <c r="B10" s="11">
        <v>8943</v>
      </c>
      <c r="C10" s="339">
        <v>1139</v>
      </c>
      <c r="D10" s="339">
        <v>2075</v>
      </c>
      <c r="E10" s="339">
        <v>24</v>
      </c>
      <c r="F10" s="339">
        <v>533</v>
      </c>
      <c r="G10" s="339">
        <v>603</v>
      </c>
      <c r="H10" s="73">
        <f>SUM(B10:G10)</f>
        <v>13317</v>
      </c>
    </row>
    <row r="11" spans="1:8" ht="12" customHeight="1">
      <c r="A11" s="512" t="s">
        <v>976</v>
      </c>
      <c r="B11" s="431">
        <v>18760</v>
      </c>
      <c r="C11" s="514">
        <v>3152</v>
      </c>
      <c r="D11" s="514">
        <v>2481</v>
      </c>
      <c r="E11" s="514">
        <v>53</v>
      </c>
      <c r="F11" s="514">
        <v>189</v>
      </c>
      <c r="G11" s="514">
        <v>632</v>
      </c>
      <c r="H11" s="513">
        <f>SUM(B11:G11)</f>
        <v>25267</v>
      </c>
    </row>
    <row r="12" spans="1:8" ht="12" customHeight="1">
      <c r="A12" s="270"/>
      <c r="B12" s="38"/>
      <c r="C12" s="65"/>
      <c r="D12" s="65"/>
      <c r="E12" s="65"/>
      <c r="F12" s="65"/>
      <c r="G12" s="65"/>
      <c r="H12" s="65"/>
    </row>
    <row r="13" spans="1:8" ht="12" customHeight="1">
      <c r="A13" s="510" t="s">
        <v>360</v>
      </c>
      <c r="B13" s="511">
        <f aca="true" t="shared" si="1" ref="B13:H13">SUM(B14:B17)</f>
        <v>153088</v>
      </c>
      <c r="C13" s="511">
        <f t="shared" si="1"/>
        <v>13199</v>
      </c>
      <c r="D13" s="511">
        <f t="shared" si="1"/>
        <v>23050</v>
      </c>
      <c r="E13" s="511">
        <f t="shared" si="1"/>
        <v>308</v>
      </c>
      <c r="F13" s="511">
        <f t="shared" si="1"/>
        <v>1093</v>
      </c>
      <c r="G13" s="511">
        <f t="shared" si="1"/>
        <v>1323</v>
      </c>
      <c r="H13" s="511">
        <f t="shared" si="1"/>
        <v>192061</v>
      </c>
    </row>
    <row r="14" spans="1:9" ht="12" customHeight="1">
      <c r="A14" s="64" t="s">
        <v>1105</v>
      </c>
      <c r="B14" s="11">
        <v>117204</v>
      </c>
      <c r="C14" s="339">
        <v>10371</v>
      </c>
      <c r="D14" s="339">
        <v>16106</v>
      </c>
      <c r="E14" s="339">
        <v>179</v>
      </c>
      <c r="F14" s="339">
        <v>631</v>
      </c>
      <c r="G14" s="339">
        <v>895</v>
      </c>
      <c r="H14" s="339">
        <f>SUM(B14:G14)</f>
        <v>145386</v>
      </c>
      <c r="I14" s="38"/>
    </row>
    <row r="15" spans="1:8" ht="12" customHeight="1">
      <c r="A15" s="512" t="s">
        <v>974</v>
      </c>
      <c r="B15" s="431">
        <v>14136</v>
      </c>
      <c r="C15" s="514">
        <v>1512</v>
      </c>
      <c r="D15" s="514">
        <v>2879</v>
      </c>
      <c r="E15" s="514">
        <v>35</v>
      </c>
      <c r="F15" s="514">
        <v>127</v>
      </c>
      <c r="G15" s="514">
        <v>140</v>
      </c>
      <c r="H15" s="514">
        <f>SUM(B15:G15)</f>
        <v>18829</v>
      </c>
    </row>
    <row r="16" spans="1:8" ht="12" customHeight="1">
      <c r="A16" s="64" t="s">
        <v>975</v>
      </c>
      <c r="B16" s="11">
        <v>7669</v>
      </c>
      <c r="C16" s="339">
        <v>312</v>
      </c>
      <c r="D16" s="339">
        <v>1736</v>
      </c>
      <c r="E16" s="339">
        <v>9</v>
      </c>
      <c r="F16" s="339">
        <v>150</v>
      </c>
      <c r="G16" s="339">
        <v>152</v>
      </c>
      <c r="H16" s="339">
        <f>SUM(B16:G16)</f>
        <v>10028</v>
      </c>
    </row>
    <row r="17" spans="1:8" ht="12" customHeight="1">
      <c r="A17" s="512" t="s">
        <v>976</v>
      </c>
      <c r="B17" s="431">
        <v>14079</v>
      </c>
      <c r="C17" s="514">
        <v>1004</v>
      </c>
      <c r="D17" s="514">
        <v>2329</v>
      </c>
      <c r="E17" s="514">
        <v>85</v>
      </c>
      <c r="F17" s="514">
        <v>185</v>
      </c>
      <c r="G17" s="514">
        <v>136</v>
      </c>
      <c r="H17" s="514">
        <f>SUM(B17:G17)</f>
        <v>17818</v>
      </c>
    </row>
    <row r="18" spans="1:8" ht="12" customHeight="1">
      <c r="A18" s="270"/>
      <c r="B18" s="65"/>
      <c r="C18" s="65"/>
      <c r="D18" s="65"/>
      <c r="E18" s="65"/>
      <c r="F18" s="65"/>
      <c r="G18" s="65"/>
      <c r="H18" s="65"/>
    </row>
    <row r="19" spans="1:8" ht="12" customHeight="1">
      <c r="A19" s="510" t="s">
        <v>361</v>
      </c>
      <c r="B19" s="18"/>
      <c r="C19" s="18"/>
      <c r="D19" s="18"/>
      <c r="E19" s="18"/>
      <c r="F19" s="18"/>
      <c r="G19" s="18"/>
      <c r="H19" s="65"/>
    </row>
    <row r="20" spans="1:9" ht="12" customHeight="1">
      <c r="A20" s="510" t="s">
        <v>1118</v>
      </c>
      <c r="B20" s="511">
        <f aca="true" t="shared" si="2" ref="B20:H20">SUM(B21:B24)</f>
        <v>502789</v>
      </c>
      <c r="C20" s="511">
        <f t="shared" si="2"/>
        <v>93642</v>
      </c>
      <c r="D20" s="511">
        <f t="shared" si="2"/>
        <v>101032</v>
      </c>
      <c r="E20" s="511">
        <f t="shared" si="2"/>
        <v>754</v>
      </c>
      <c r="F20" s="511">
        <f t="shared" si="2"/>
        <v>3858</v>
      </c>
      <c r="G20" s="511">
        <f t="shared" si="2"/>
        <v>14276</v>
      </c>
      <c r="H20" s="511">
        <f t="shared" si="2"/>
        <v>716351</v>
      </c>
      <c r="I20" s="2"/>
    </row>
    <row r="21" spans="1:9" ht="12" customHeight="1">
      <c r="A21" s="64" t="s">
        <v>1105</v>
      </c>
      <c r="B21" s="11">
        <v>397670</v>
      </c>
      <c r="C21" s="339">
        <v>72780</v>
      </c>
      <c r="D21" s="339">
        <v>75712</v>
      </c>
      <c r="E21" s="339">
        <v>513</v>
      </c>
      <c r="F21" s="339">
        <v>1901</v>
      </c>
      <c r="G21" s="339">
        <v>9965</v>
      </c>
      <c r="H21" s="339">
        <f>SUM(B21:G21)</f>
        <v>558541</v>
      </c>
      <c r="I21" s="2"/>
    </row>
    <row r="22" spans="1:9" ht="12" customHeight="1">
      <c r="A22" s="512" t="s">
        <v>974</v>
      </c>
      <c r="B22" s="432">
        <v>41643</v>
      </c>
      <c r="C22" s="514">
        <v>10025</v>
      </c>
      <c r="D22" s="514">
        <v>10457</v>
      </c>
      <c r="E22" s="514">
        <v>160</v>
      </c>
      <c r="F22" s="514">
        <v>674</v>
      </c>
      <c r="G22" s="514">
        <v>1389</v>
      </c>
      <c r="H22" s="514">
        <f>SUM(B22:G22)</f>
        <v>64348</v>
      </c>
      <c r="I22" s="2"/>
    </row>
    <row r="23" spans="1:9" ht="12" customHeight="1">
      <c r="A23" s="64" t="s">
        <v>975</v>
      </c>
      <c r="B23" s="21">
        <v>20298</v>
      </c>
      <c r="C23" s="339">
        <v>3144</v>
      </c>
      <c r="D23" s="339">
        <v>4902</v>
      </c>
      <c r="E23" s="339">
        <v>41</v>
      </c>
      <c r="F23" s="339">
        <v>852</v>
      </c>
      <c r="G23" s="339">
        <v>1325</v>
      </c>
      <c r="H23" s="339">
        <f>SUM(B23:G23)</f>
        <v>30562</v>
      </c>
      <c r="I23" s="2"/>
    </row>
    <row r="24" spans="1:9" ht="12" customHeight="1">
      <c r="A24" s="515" t="s">
        <v>976</v>
      </c>
      <c r="B24" s="431">
        <v>43178</v>
      </c>
      <c r="C24" s="514">
        <v>7693</v>
      </c>
      <c r="D24" s="514">
        <v>9961</v>
      </c>
      <c r="E24" s="514">
        <v>40</v>
      </c>
      <c r="F24" s="514">
        <v>431</v>
      </c>
      <c r="G24" s="642">
        <v>1597</v>
      </c>
      <c r="H24" s="514">
        <f>SUM(B24:G24)</f>
        <v>62900</v>
      </c>
      <c r="I24" s="2"/>
    </row>
    <row r="25" spans="1:8" ht="12" customHeight="1">
      <c r="A25" s="68"/>
      <c r="B25" s="451"/>
      <c r="C25" s="451"/>
      <c r="D25" s="451"/>
      <c r="E25" s="451"/>
      <c r="F25" s="451"/>
      <c r="G25" s="451"/>
      <c r="H25" s="451"/>
    </row>
    <row r="26" spans="1:8" ht="12" customHeight="1">
      <c r="A26" s="63"/>
      <c r="B26" s="63"/>
      <c r="C26" s="63"/>
      <c r="D26" s="63"/>
      <c r="E26" s="63"/>
      <c r="F26" s="63"/>
      <c r="G26" s="63"/>
      <c r="H26" s="63"/>
    </row>
    <row r="27" spans="1:9" ht="12" customHeight="1">
      <c r="A27" s="336" t="s">
        <v>292</v>
      </c>
      <c r="G27" s="65"/>
      <c r="H27" s="65"/>
      <c r="I27" s="38"/>
    </row>
    <row r="28" ht="5.25" customHeight="1"/>
    <row r="29" ht="12" customHeight="1">
      <c r="A29" s="328" t="s">
        <v>1106</v>
      </c>
    </row>
    <row r="30" ht="12" customHeight="1">
      <c r="A30" s="2" t="s">
        <v>1312</v>
      </c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4"/>
  <sheetViews>
    <sheetView showGridLines="0" workbookViewId="0" topLeftCell="A1">
      <selection activeCell="G19" sqref="G19"/>
    </sheetView>
  </sheetViews>
  <sheetFormatPr defaultColWidth="12.57421875" defaultRowHeight="12.75"/>
  <cols>
    <col min="1" max="1" width="23.00390625" style="37" customWidth="1"/>
    <col min="2" max="5" width="11.7109375" style="37" customWidth="1"/>
    <col min="6" max="6" width="11.7109375" style="9" customWidth="1"/>
    <col min="7" max="7" width="12.57421875" style="37" customWidth="1"/>
    <col min="8" max="8" width="11.57421875" style="37" customWidth="1"/>
    <col min="9" max="16384" width="12.57421875" style="37" customWidth="1"/>
  </cols>
  <sheetData>
    <row r="1" ht="15">
      <c r="A1" s="70" t="s">
        <v>1314</v>
      </c>
    </row>
    <row r="3" ht="12">
      <c r="F3" s="42" t="s">
        <v>931</v>
      </c>
    </row>
    <row r="4" spans="1:6" s="9" customFormat="1" ht="18" customHeight="1">
      <c r="A4" s="445"/>
      <c r="B4" s="446" t="s">
        <v>362</v>
      </c>
      <c r="C4" s="447"/>
      <c r="D4" s="447"/>
      <c r="E4" s="447"/>
      <c r="F4" s="445"/>
    </row>
    <row r="5" spans="1:6" s="9" customFormat="1" ht="18" customHeight="1">
      <c r="A5" s="448" t="s">
        <v>1006</v>
      </c>
      <c r="B5" s="449" t="s">
        <v>1105</v>
      </c>
      <c r="C5" s="449" t="s">
        <v>974</v>
      </c>
      <c r="D5" s="449" t="s">
        <v>975</v>
      </c>
      <c r="E5" s="449" t="s">
        <v>976</v>
      </c>
      <c r="F5" s="449" t="s">
        <v>1095</v>
      </c>
    </row>
    <row r="6" spans="2:6" ht="12">
      <c r="B6" s="38"/>
      <c r="C6" s="38"/>
      <c r="D6" s="38"/>
      <c r="E6" s="38"/>
      <c r="F6" s="22"/>
    </row>
    <row r="7" spans="1:6" s="9" customFormat="1" ht="12">
      <c r="A7" s="516">
        <v>1986</v>
      </c>
      <c r="B7" s="511">
        <v>1679834</v>
      </c>
      <c r="C7" s="511">
        <v>209056</v>
      </c>
      <c r="D7" s="511">
        <v>154221</v>
      </c>
      <c r="E7" s="511">
        <v>174781</v>
      </c>
      <c r="F7" s="511">
        <v>2217892</v>
      </c>
    </row>
    <row r="8" spans="1:19" ht="12">
      <c r="A8" s="72" t="s">
        <v>363</v>
      </c>
      <c r="B8" s="73">
        <v>1156111</v>
      </c>
      <c r="C8" s="73">
        <v>135635</v>
      </c>
      <c r="D8" s="73">
        <v>111076</v>
      </c>
      <c r="E8" s="73">
        <v>120244</v>
      </c>
      <c r="F8" s="71">
        <v>1523066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12">
      <c r="A9" s="72" t="s">
        <v>364</v>
      </c>
      <c r="B9" s="73">
        <v>523723</v>
      </c>
      <c r="C9" s="73">
        <v>73421</v>
      </c>
      <c r="D9" s="73">
        <v>43145</v>
      </c>
      <c r="E9" s="73">
        <v>54537</v>
      </c>
      <c r="F9" s="71">
        <v>694826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74"/>
    </row>
    <row r="10" spans="2:6" ht="12">
      <c r="B10" s="73"/>
      <c r="C10" s="73"/>
      <c r="D10" s="73"/>
      <c r="E10" s="73"/>
      <c r="F10" s="71"/>
    </row>
    <row r="11" spans="1:6" s="9" customFormat="1" ht="12">
      <c r="A11" s="516">
        <v>1987</v>
      </c>
      <c r="B11" s="511">
        <v>1729697</v>
      </c>
      <c r="C11" s="511">
        <v>215882</v>
      </c>
      <c r="D11" s="511">
        <v>157967</v>
      </c>
      <c r="E11" s="511">
        <v>181228</v>
      </c>
      <c r="F11" s="511">
        <v>2284774</v>
      </c>
    </row>
    <row r="12" spans="1:6" ht="12">
      <c r="A12" s="72" t="s">
        <v>363</v>
      </c>
      <c r="B12" s="73">
        <v>1179978</v>
      </c>
      <c r="C12" s="73">
        <v>138447</v>
      </c>
      <c r="D12" s="73">
        <v>112600</v>
      </c>
      <c r="E12" s="73">
        <v>123186</v>
      </c>
      <c r="F12" s="71">
        <v>1554211</v>
      </c>
    </row>
    <row r="13" spans="1:6" ht="12">
      <c r="A13" s="72" t="s">
        <v>364</v>
      </c>
      <c r="B13" s="73">
        <v>549719</v>
      </c>
      <c r="C13" s="73">
        <v>77435</v>
      </c>
      <c r="D13" s="73">
        <v>45367</v>
      </c>
      <c r="E13" s="73">
        <v>58042</v>
      </c>
      <c r="F13" s="71">
        <v>730563</v>
      </c>
    </row>
    <row r="14" spans="2:6" ht="12">
      <c r="B14" s="73"/>
      <c r="C14" s="73"/>
      <c r="D14" s="73"/>
      <c r="E14" s="73"/>
      <c r="F14" s="71"/>
    </row>
    <row r="15" spans="1:6" s="9" customFormat="1" ht="12">
      <c r="A15" s="516" t="s">
        <v>365</v>
      </c>
      <c r="B15" s="511">
        <v>1809816</v>
      </c>
      <c r="C15" s="511">
        <v>221748</v>
      </c>
      <c r="D15" s="511">
        <v>163373</v>
      </c>
      <c r="E15" s="511">
        <v>186719</v>
      </c>
      <c r="F15" s="511">
        <v>2381656</v>
      </c>
    </row>
    <row r="16" spans="1:6" ht="12">
      <c r="A16" s="72" t="s">
        <v>363</v>
      </c>
      <c r="B16" s="73">
        <v>1224195</v>
      </c>
      <c r="C16" s="73">
        <v>140312</v>
      </c>
      <c r="D16" s="73">
        <v>115522</v>
      </c>
      <c r="E16" s="73">
        <v>125224</v>
      </c>
      <c r="F16" s="71">
        <v>1605253</v>
      </c>
    </row>
    <row r="17" spans="1:6" ht="12">
      <c r="A17" s="72" t="s">
        <v>364</v>
      </c>
      <c r="B17" s="73">
        <v>585621</v>
      </c>
      <c r="C17" s="73">
        <v>81436</v>
      </c>
      <c r="D17" s="73">
        <v>47851</v>
      </c>
      <c r="E17" s="73">
        <v>61495</v>
      </c>
      <c r="F17" s="71">
        <v>776403</v>
      </c>
    </row>
    <row r="18" spans="2:6" ht="12">
      <c r="B18" s="73"/>
      <c r="C18" s="73"/>
      <c r="D18" s="73"/>
      <c r="E18" s="73"/>
      <c r="F18" s="71"/>
    </row>
    <row r="19" spans="1:6" s="9" customFormat="1" ht="12">
      <c r="A19" s="516" t="s">
        <v>366</v>
      </c>
      <c r="B19" s="511">
        <v>1864106</v>
      </c>
      <c r="C19" s="511">
        <v>228550</v>
      </c>
      <c r="D19" s="511">
        <v>167219</v>
      </c>
      <c r="E19" s="511">
        <v>193826</v>
      </c>
      <c r="F19" s="511">
        <v>2453701</v>
      </c>
    </row>
    <row r="20" spans="1:6" ht="12">
      <c r="A20" s="72" t="s">
        <v>363</v>
      </c>
      <c r="B20" s="73">
        <v>1249141</v>
      </c>
      <c r="C20" s="73">
        <v>143258</v>
      </c>
      <c r="D20" s="73">
        <v>117138</v>
      </c>
      <c r="E20" s="73">
        <v>128284</v>
      </c>
      <c r="F20" s="71">
        <v>1637821</v>
      </c>
    </row>
    <row r="21" spans="1:6" ht="12">
      <c r="A21" s="72" t="s">
        <v>364</v>
      </c>
      <c r="B21" s="73">
        <v>614965</v>
      </c>
      <c r="C21" s="73">
        <v>85292</v>
      </c>
      <c r="D21" s="73">
        <v>50081</v>
      </c>
      <c r="E21" s="73">
        <v>65542</v>
      </c>
      <c r="F21" s="71">
        <v>815880</v>
      </c>
    </row>
    <row r="22" spans="2:6" ht="12">
      <c r="B22" s="73"/>
      <c r="C22" s="73"/>
      <c r="D22" s="73"/>
      <c r="E22" s="73"/>
      <c r="F22" s="71"/>
    </row>
    <row r="23" spans="1:6" s="9" customFormat="1" ht="12">
      <c r="A23" s="516" t="s">
        <v>367</v>
      </c>
      <c r="B23" s="511">
        <v>1920373</v>
      </c>
      <c r="C23" s="511">
        <v>236491</v>
      </c>
      <c r="D23" s="511">
        <v>171467</v>
      </c>
      <c r="E23" s="511">
        <v>201219</v>
      </c>
      <c r="F23" s="511">
        <v>2529550</v>
      </c>
    </row>
    <row r="24" spans="1:6" ht="12">
      <c r="A24" s="72" t="s">
        <v>363</v>
      </c>
      <c r="B24" s="73">
        <v>1275430</v>
      </c>
      <c r="C24" s="73">
        <v>146749</v>
      </c>
      <c r="D24" s="73">
        <v>119018</v>
      </c>
      <c r="E24" s="73">
        <v>131561</v>
      </c>
      <c r="F24" s="71">
        <v>1672758</v>
      </c>
    </row>
    <row r="25" spans="1:6" ht="12">
      <c r="A25" s="72" t="s">
        <v>364</v>
      </c>
      <c r="B25" s="73">
        <v>644943</v>
      </c>
      <c r="C25" s="73">
        <v>89742</v>
      </c>
      <c r="D25" s="73">
        <v>52449</v>
      </c>
      <c r="E25" s="73">
        <v>69658</v>
      </c>
      <c r="F25" s="71">
        <v>856792</v>
      </c>
    </row>
    <row r="26" spans="2:6" ht="12">
      <c r="B26" s="73"/>
      <c r="C26" s="73"/>
      <c r="D26" s="73"/>
      <c r="E26" s="73"/>
      <c r="F26" s="71"/>
    </row>
    <row r="27" spans="1:6" s="9" customFormat="1" ht="12">
      <c r="A27" s="516" t="s">
        <v>368</v>
      </c>
      <c r="B27" s="511">
        <v>1974866</v>
      </c>
      <c r="C27" s="511">
        <v>243178</v>
      </c>
      <c r="D27" s="511">
        <v>175258</v>
      </c>
      <c r="E27" s="511">
        <v>208068</v>
      </c>
      <c r="F27" s="511">
        <v>2601370</v>
      </c>
    </row>
    <row r="28" spans="1:6" ht="12">
      <c r="A28" s="72" t="s">
        <v>363</v>
      </c>
      <c r="B28" s="73">
        <v>1301100</v>
      </c>
      <c r="C28" s="73">
        <v>149618</v>
      </c>
      <c r="D28" s="73">
        <v>120578</v>
      </c>
      <c r="E28" s="73">
        <v>134634</v>
      </c>
      <c r="F28" s="71">
        <v>1705930</v>
      </c>
    </row>
    <row r="29" spans="1:6" ht="12">
      <c r="A29" s="72" t="s">
        <v>364</v>
      </c>
      <c r="B29" s="73">
        <v>673766</v>
      </c>
      <c r="C29" s="73">
        <v>93560</v>
      </c>
      <c r="D29" s="73">
        <v>54680</v>
      </c>
      <c r="E29" s="73">
        <v>73434</v>
      </c>
      <c r="F29" s="71">
        <v>895440</v>
      </c>
    </row>
    <row r="30" spans="2:6" ht="12">
      <c r="B30" s="73"/>
      <c r="C30" s="73"/>
      <c r="D30" s="73"/>
      <c r="E30" s="73"/>
      <c r="F30" s="71"/>
    </row>
    <row r="31" spans="1:6" s="9" customFormat="1" ht="12">
      <c r="A31" s="516" t="s">
        <v>369</v>
      </c>
      <c r="B31" s="511">
        <v>2028134</v>
      </c>
      <c r="C31" s="511">
        <v>250292</v>
      </c>
      <c r="D31" s="511">
        <v>179038</v>
      </c>
      <c r="E31" s="511">
        <v>214957</v>
      </c>
      <c r="F31" s="511">
        <v>2672421</v>
      </c>
    </row>
    <row r="32" spans="1:6" ht="12">
      <c r="A32" s="72" t="s">
        <v>363</v>
      </c>
      <c r="B32" s="73">
        <v>1325036</v>
      </c>
      <c r="C32" s="73">
        <v>152866</v>
      </c>
      <c r="D32" s="73">
        <v>122027</v>
      </c>
      <c r="E32" s="73">
        <v>137658</v>
      </c>
      <c r="F32" s="71">
        <v>1737587</v>
      </c>
    </row>
    <row r="33" spans="1:6" ht="12">
      <c r="A33" s="72" t="s">
        <v>364</v>
      </c>
      <c r="B33" s="73">
        <v>703098</v>
      </c>
      <c r="C33" s="73">
        <v>97426</v>
      </c>
      <c r="D33" s="73">
        <v>57011</v>
      </c>
      <c r="E33" s="73">
        <v>77299</v>
      </c>
      <c r="F33" s="71">
        <v>934834</v>
      </c>
    </row>
    <row r="34" spans="2:6" ht="12">
      <c r="B34" s="73"/>
      <c r="C34" s="73"/>
      <c r="D34" s="73"/>
      <c r="E34" s="73"/>
      <c r="F34" s="71"/>
    </row>
    <row r="35" spans="1:6" s="9" customFormat="1" ht="12">
      <c r="A35" s="516" t="s">
        <v>370</v>
      </c>
      <c r="B35" s="511">
        <v>2079389</v>
      </c>
      <c r="C35" s="511">
        <v>256216</v>
      </c>
      <c r="D35" s="511">
        <v>182262</v>
      </c>
      <c r="E35" s="511">
        <v>221901</v>
      </c>
      <c r="F35" s="511">
        <v>2739768</v>
      </c>
    </row>
    <row r="36" spans="1:6" ht="12">
      <c r="A36" s="72" t="s">
        <v>363</v>
      </c>
      <c r="B36" s="73">
        <v>1348612</v>
      </c>
      <c r="C36" s="73">
        <v>155378</v>
      </c>
      <c r="D36" s="73">
        <v>123221</v>
      </c>
      <c r="E36" s="73">
        <v>140758</v>
      </c>
      <c r="F36" s="71">
        <v>1767969</v>
      </c>
    </row>
    <row r="37" spans="1:6" ht="12">
      <c r="A37" s="72" t="s">
        <v>364</v>
      </c>
      <c r="B37" s="73">
        <v>730777</v>
      </c>
      <c r="C37" s="73">
        <v>100838</v>
      </c>
      <c r="D37" s="73">
        <v>59041</v>
      </c>
      <c r="E37" s="73">
        <v>81143</v>
      </c>
      <c r="F37" s="71">
        <v>971799</v>
      </c>
    </row>
    <row r="38" spans="2:6" ht="12">
      <c r="B38" s="73"/>
      <c r="C38" s="73"/>
      <c r="D38" s="73"/>
      <c r="E38" s="73"/>
      <c r="F38" s="71"/>
    </row>
    <row r="39" spans="1:6" s="9" customFormat="1" ht="12">
      <c r="A39" s="516">
        <v>1994</v>
      </c>
      <c r="B39" s="511">
        <v>2118687</v>
      </c>
      <c r="C39" s="511">
        <v>261085</v>
      </c>
      <c r="D39" s="511">
        <v>185369</v>
      </c>
      <c r="E39" s="511">
        <v>227674</v>
      </c>
      <c r="F39" s="511">
        <v>2792815</v>
      </c>
    </row>
    <row r="40" spans="1:6" ht="12">
      <c r="A40" s="72" t="s">
        <v>363</v>
      </c>
      <c r="B40" s="73">
        <v>1355858</v>
      </c>
      <c r="C40" s="73">
        <v>157290</v>
      </c>
      <c r="D40" s="73">
        <v>124315</v>
      </c>
      <c r="E40" s="73">
        <v>142975</v>
      </c>
      <c r="F40" s="71">
        <v>1780438</v>
      </c>
    </row>
    <row r="41" spans="1:6" ht="12">
      <c r="A41" s="72" t="s">
        <v>364</v>
      </c>
      <c r="B41" s="73">
        <v>762829</v>
      </c>
      <c r="C41" s="73">
        <v>103795</v>
      </c>
      <c r="D41" s="73">
        <v>61054</v>
      </c>
      <c r="E41" s="73">
        <v>84699</v>
      </c>
      <c r="F41" s="71">
        <v>1012377</v>
      </c>
    </row>
    <row r="42" spans="2:6" ht="12">
      <c r="B42" s="38"/>
      <c r="C42" s="38"/>
      <c r="D42" s="38"/>
      <c r="E42" s="38"/>
      <c r="F42" s="22"/>
    </row>
    <row r="43" spans="1:6" s="9" customFormat="1" ht="12">
      <c r="A43" s="516">
        <v>1995</v>
      </c>
      <c r="B43" s="511">
        <v>2168692</v>
      </c>
      <c r="C43" s="511">
        <v>267558</v>
      </c>
      <c r="D43" s="511">
        <v>188480</v>
      </c>
      <c r="E43" s="511">
        <v>234106</v>
      </c>
      <c r="F43" s="511">
        <v>2858836</v>
      </c>
    </row>
    <row r="44" spans="1:6" ht="12">
      <c r="A44" s="72" t="s">
        <v>363</v>
      </c>
      <c r="B44" s="73">
        <v>1385553</v>
      </c>
      <c r="C44" s="73">
        <v>159985</v>
      </c>
      <c r="D44" s="73">
        <v>125393</v>
      </c>
      <c r="E44" s="73">
        <v>145315</v>
      </c>
      <c r="F44" s="71">
        <v>1816246</v>
      </c>
    </row>
    <row r="45" spans="1:6" ht="12">
      <c r="A45" s="72" t="s">
        <v>364</v>
      </c>
      <c r="B45" s="75">
        <v>783139</v>
      </c>
      <c r="C45" s="75">
        <v>107573</v>
      </c>
      <c r="D45" s="75">
        <v>63087</v>
      </c>
      <c r="E45" s="75">
        <v>88791</v>
      </c>
      <c r="F45" s="76">
        <v>1042590</v>
      </c>
    </row>
    <row r="46" spans="2:6" ht="12">
      <c r="B46" s="77"/>
      <c r="C46" s="38"/>
      <c r="D46" s="38"/>
      <c r="E46" s="38"/>
      <c r="F46" s="22"/>
    </row>
    <row r="47" spans="1:6" s="9" customFormat="1" ht="12">
      <c r="A47" s="517">
        <v>1996</v>
      </c>
      <c r="B47" s="518">
        <v>2208649</v>
      </c>
      <c r="C47" s="518">
        <v>272267</v>
      </c>
      <c r="D47" s="518">
        <v>191054</v>
      </c>
      <c r="E47" s="518">
        <v>239664</v>
      </c>
      <c r="F47" s="518">
        <v>2911634</v>
      </c>
    </row>
    <row r="48" spans="1:6" ht="12">
      <c r="A48" s="72" t="s">
        <v>363</v>
      </c>
      <c r="B48" s="38">
        <v>1401898</v>
      </c>
      <c r="C48" s="38">
        <v>161919</v>
      </c>
      <c r="D48" s="38">
        <v>126236</v>
      </c>
      <c r="E48" s="77">
        <v>146884</v>
      </c>
      <c r="F48" s="22">
        <v>1836937</v>
      </c>
    </row>
    <row r="49" spans="1:6" ht="12">
      <c r="A49" s="78" t="s">
        <v>364</v>
      </c>
      <c r="B49" s="77">
        <v>806751</v>
      </c>
      <c r="C49" s="77">
        <v>110348</v>
      </c>
      <c r="D49" s="77">
        <v>64818</v>
      </c>
      <c r="E49" s="77">
        <v>92780</v>
      </c>
      <c r="F49" s="79">
        <v>1074697</v>
      </c>
    </row>
    <row r="50" spans="1:6" ht="12">
      <c r="A50" s="78"/>
      <c r="B50" s="77"/>
      <c r="C50" s="77"/>
      <c r="D50" s="77"/>
      <c r="E50" s="77"/>
      <c r="F50" s="79"/>
    </row>
    <row r="51" spans="1:6" s="9" customFormat="1" ht="12">
      <c r="A51" s="517">
        <v>1997</v>
      </c>
      <c r="B51" s="518">
        <f>SUM(B52:B53)</f>
        <v>2247783</v>
      </c>
      <c r="C51" s="518">
        <f>SUM(C52:C53)</f>
        <v>278319</v>
      </c>
      <c r="D51" s="518">
        <f>SUM(D52:D53)</f>
        <v>193491</v>
      </c>
      <c r="E51" s="518">
        <f>SUM(E52:E53)</f>
        <v>245999</v>
      </c>
      <c r="F51" s="518">
        <f>SUM(B51:E51)</f>
        <v>2965592</v>
      </c>
    </row>
    <row r="52" spans="1:6" ht="12">
      <c r="A52" s="72" t="s">
        <v>363</v>
      </c>
      <c r="B52" s="38">
        <v>1414760</v>
      </c>
      <c r="C52" s="38">
        <v>164513</v>
      </c>
      <c r="D52" s="38">
        <v>126532</v>
      </c>
      <c r="E52" s="77">
        <v>149412</v>
      </c>
      <c r="F52" s="22">
        <f>SUM(B52:E52)</f>
        <v>1855217</v>
      </c>
    </row>
    <row r="53" spans="1:6" ht="12">
      <c r="A53" s="78" t="s">
        <v>364</v>
      </c>
      <c r="B53" s="77">
        <v>833023</v>
      </c>
      <c r="C53" s="77">
        <v>113806</v>
      </c>
      <c r="D53" s="77">
        <v>66959</v>
      </c>
      <c r="E53" s="77">
        <v>96587</v>
      </c>
      <c r="F53" s="22">
        <f>SUM(B53:E53)</f>
        <v>1110375</v>
      </c>
    </row>
    <row r="54" spans="1:6" ht="12">
      <c r="A54" s="78"/>
      <c r="B54" s="77"/>
      <c r="C54" s="77"/>
      <c r="D54" s="77"/>
      <c r="E54" s="77"/>
      <c r="F54" s="22"/>
    </row>
    <row r="55" spans="1:6" ht="12">
      <c r="A55" s="517">
        <v>1998</v>
      </c>
      <c r="B55" s="518">
        <f>SUM(B56:B57)</f>
        <v>2295173</v>
      </c>
      <c r="C55" s="518">
        <f>SUM(C56:C57)</f>
        <v>284009</v>
      </c>
      <c r="D55" s="518">
        <f>SUM(D56:D57)</f>
        <v>197000</v>
      </c>
      <c r="E55" s="518">
        <f>SUM(E56:E57)</f>
        <v>253172</v>
      </c>
      <c r="F55" s="518">
        <f>SUM(F56:F57)</f>
        <v>3029354</v>
      </c>
    </row>
    <row r="56" spans="1:6" ht="12">
      <c r="A56" s="72" t="s">
        <v>363</v>
      </c>
      <c r="B56" s="77">
        <v>1435417</v>
      </c>
      <c r="C56" s="77">
        <v>166742</v>
      </c>
      <c r="D56" s="77">
        <v>127632</v>
      </c>
      <c r="E56" s="77">
        <v>152540</v>
      </c>
      <c r="F56" s="22">
        <f>SUM(B56:E56)</f>
        <v>1882331</v>
      </c>
    </row>
    <row r="57" spans="1:6" ht="12">
      <c r="A57" s="78" t="s">
        <v>364</v>
      </c>
      <c r="B57" s="77">
        <v>859756</v>
      </c>
      <c r="C57" s="77">
        <v>117267</v>
      </c>
      <c r="D57" s="77">
        <v>69368</v>
      </c>
      <c r="E57" s="77">
        <v>100632</v>
      </c>
      <c r="F57" s="22">
        <f>SUM(B57:E57)</f>
        <v>1147023</v>
      </c>
    </row>
    <row r="58" spans="1:6" ht="12">
      <c r="A58" s="78"/>
      <c r="B58" s="77"/>
      <c r="C58" s="77"/>
      <c r="D58" s="77"/>
      <c r="E58" s="77"/>
      <c r="F58" s="22"/>
    </row>
    <row r="59" spans="1:6" ht="12">
      <c r="A59" s="519">
        <v>1999</v>
      </c>
      <c r="B59" s="520">
        <f>SUM(B60:B61)</f>
        <v>2335486</v>
      </c>
      <c r="C59" s="520">
        <f>SUM(C60:C61)</f>
        <v>289059</v>
      </c>
      <c r="D59" s="520">
        <f>SUM(D60:D61)</f>
        <v>199979</v>
      </c>
      <c r="E59" s="520">
        <f>SUM(E60:E61)</f>
        <v>259457</v>
      </c>
      <c r="F59" s="520">
        <f>SUM(F60:F61)</f>
        <v>3083981</v>
      </c>
    </row>
    <row r="60" spans="1:6" ht="12">
      <c r="A60" s="72" t="s">
        <v>363</v>
      </c>
      <c r="B60" s="77">
        <v>1450726</v>
      </c>
      <c r="C60" s="77">
        <v>168401</v>
      </c>
      <c r="D60" s="77">
        <v>128597</v>
      </c>
      <c r="E60" s="77">
        <v>155211</v>
      </c>
      <c r="F60" s="22">
        <f>SUM(B60:E60)</f>
        <v>1902935</v>
      </c>
    </row>
    <row r="61" spans="1:6" ht="12">
      <c r="A61" s="78" t="s">
        <v>364</v>
      </c>
      <c r="B61" s="77">
        <v>884760</v>
      </c>
      <c r="C61" s="77">
        <v>120658</v>
      </c>
      <c r="D61" s="77">
        <v>71382</v>
      </c>
      <c r="E61" s="77">
        <v>104246</v>
      </c>
      <c r="F61" s="22">
        <f>SUM(B61:E61)</f>
        <v>1181046</v>
      </c>
    </row>
    <row r="62" spans="1:6" ht="12">
      <c r="A62" s="78"/>
      <c r="B62" s="77"/>
      <c r="C62" s="77"/>
      <c r="D62" s="77"/>
      <c r="E62" s="77"/>
      <c r="F62" s="22"/>
    </row>
    <row r="63" spans="1:6" ht="12">
      <c r="A63" s="519">
        <v>2000</v>
      </c>
      <c r="B63" s="520">
        <f>SUM(B64:B65)</f>
        <v>2376363</v>
      </c>
      <c r="C63" s="520">
        <f>SUM(C64:C65)</f>
        <v>295107</v>
      </c>
      <c r="D63" s="520">
        <f>SUM(D64:D65)</f>
        <v>203383</v>
      </c>
      <c r="E63" s="520">
        <f>SUM(E64:E65)</f>
        <v>266126</v>
      </c>
      <c r="F63" s="520">
        <f>SUM(F64:F65)</f>
        <v>3140979</v>
      </c>
    </row>
    <row r="64" spans="1:6" ht="12">
      <c r="A64" s="72" t="s">
        <v>363</v>
      </c>
      <c r="B64" s="77">
        <v>1465136</v>
      </c>
      <c r="C64" s="77">
        <v>170439</v>
      </c>
      <c r="D64" s="77">
        <v>129843</v>
      </c>
      <c r="E64" s="77">
        <v>158185</v>
      </c>
      <c r="F64" s="22">
        <f>SUM(B64:E64)</f>
        <v>1923603</v>
      </c>
    </row>
    <row r="65" spans="1:6" ht="12">
      <c r="A65" s="78" t="s">
        <v>364</v>
      </c>
      <c r="B65" s="77">
        <v>911227</v>
      </c>
      <c r="C65" s="77">
        <v>124668</v>
      </c>
      <c r="D65" s="77">
        <v>73540</v>
      </c>
      <c r="E65" s="77">
        <v>107941</v>
      </c>
      <c r="F65" s="22">
        <f>SUM(B65:E65)</f>
        <v>1217376</v>
      </c>
    </row>
    <row r="66" spans="1:6" ht="12">
      <c r="A66" s="78"/>
      <c r="B66" s="77"/>
      <c r="C66" s="77"/>
      <c r="D66" s="77"/>
      <c r="E66" s="77"/>
      <c r="F66" s="22"/>
    </row>
    <row r="67" spans="1:6" ht="12">
      <c r="A67" s="519">
        <v>2001</v>
      </c>
      <c r="B67" s="520">
        <f>SUM(B68:B69)</f>
        <v>2410478</v>
      </c>
      <c r="C67" s="520">
        <f>SUM(C68:C69)</f>
        <v>300948</v>
      </c>
      <c r="D67" s="520">
        <f>SUM(D68:D69)</f>
        <v>205692</v>
      </c>
      <c r="E67" s="520">
        <f>SUM(E68:E69)</f>
        <v>272207</v>
      </c>
      <c r="F67" s="520">
        <f>SUM(F68:F69)</f>
        <v>3189325</v>
      </c>
    </row>
    <row r="68" spans="1:6" ht="12">
      <c r="A68" s="72" t="s">
        <v>363</v>
      </c>
      <c r="B68" s="77">
        <v>1476368</v>
      </c>
      <c r="C68" s="77">
        <v>172891</v>
      </c>
      <c r="D68" s="77">
        <v>130420</v>
      </c>
      <c r="E68" s="77">
        <v>160996</v>
      </c>
      <c r="F68" s="22">
        <f>SUM(B68:E68)</f>
        <v>1940675</v>
      </c>
    </row>
    <row r="69" spans="1:6" ht="12">
      <c r="A69" s="78" t="s">
        <v>364</v>
      </c>
      <c r="B69" s="77">
        <v>934110</v>
      </c>
      <c r="C69" s="77">
        <v>128057</v>
      </c>
      <c r="D69" s="77">
        <v>75272</v>
      </c>
      <c r="E69" s="77">
        <v>111211</v>
      </c>
      <c r="F69" s="22">
        <f>SUM(B69:E69)</f>
        <v>1248650</v>
      </c>
    </row>
    <row r="70" spans="1:6" ht="12">
      <c r="A70" s="78"/>
      <c r="B70" s="77"/>
      <c r="C70" s="77"/>
      <c r="D70" s="77"/>
      <c r="E70" s="77"/>
      <c r="F70" s="22"/>
    </row>
    <row r="71" spans="1:6" ht="12">
      <c r="A71" s="519">
        <v>2002</v>
      </c>
      <c r="B71" s="520">
        <f>SUM(B72:B73)</f>
        <v>2454593</v>
      </c>
      <c r="C71" s="520">
        <f>SUM(C72:C73)</f>
        <v>307740</v>
      </c>
      <c r="D71" s="520">
        <f>SUM(D72:D73)</f>
        <v>208695</v>
      </c>
      <c r="E71" s="520">
        <f>SUM(E72:E73)</f>
        <v>278934</v>
      </c>
      <c r="F71" s="520">
        <f>SUM(F72:F73)</f>
        <v>3249962</v>
      </c>
    </row>
    <row r="72" spans="1:6" ht="12">
      <c r="A72" s="72" t="s">
        <v>363</v>
      </c>
      <c r="B72" s="77">
        <v>1492758</v>
      </c>
      <c r="C72" s="77">
        <v>175965</v>
      </c>
      <c r="D72" s="77">
        <v>131402</v>
      </c>
      <c r="E72" s="77">
        <v>164020</v>
      </c>
      <c r="F72" s="22">
        <f>SUM(B72:E72)</f>
        <v>1964145</v>
      </c>
    </row>
    <row r="73" spans="1:6" ht="12">
      <c r="A73" s="78" t="s">
        <v>364</v>
      </c>
      <c r="B73" s="77">
        <v>961835</v>
      </c>
      <c r="C73" s="77">
        <v>131775</v>
      </c>
      <c r="D73" s="77">
        <v>77293</v>
      </c>
      <c r="E73" s="77">
        <v>114914</v>
      </c>
      <c r="F73" s="22">
        <f>SUM(B73:E73)</f>
        <v>1285817</v>
      </c>
    </row>
    <row r="74" spans="1:6" ht="14.25" customHeight="1">
      <c r="A74" s="78"/>
      <c r="B74" s="77"/>
      <c r="C74" s="77"/>
      <c r="D74" s="77"/>
      <c r="E74" s="77"/>
      <c r="F74" s="22"/>
    </row>
    <row r="75" spans="1:6" ht="12">
      <c r="A75" s="519">
        <v>2003</v>
      </c>
      <c r="B75" s="520">
        <f>SUM(B76:B77)</f>
        <v>2704759</v>
      </c>
      <c r="C75" s="520">
        <f>SUM(C76:C77)</f>
        <v>357115</v>
      </c>
      <c r="D75" s="520">
        <f>SUM(D76:D77)</f>
        <v>228453</v>
      </c>
      <c r="E75" s="520">
        <f>SUM(E76:E77)</f>
        <v>325176</v>
      </c>
      <c r="F75" s="520">
        <f>SUM(F76:F77)</f>
        <v>3615503</v>
      </c>
    </row>
    <row r="76" spans="1:6" ht="12">
      <c r="A76" s="72" t="s">
        <v>363</v>
      </c>
      <c r="B76" s="77">
        <v>1641713</v>
      </c>
      <c r="C76" s="77">
        <v>204841</v>
      </c>
      <c r="D76" s="77">
        <v>144317</v>
      </c>
      <c r="E76" s="77">
        <v>192629</v>
      </c>
      <c r="F76" s="22">
        <f>SUM(B76:E76)</f>
        <v>2183500</v>
      </c>
    </row>
    <row r="77" spans="1:6" ht="12">
      <c r="A77" s="78" t="s">
        <v>364</v>
      </c>
      <c r="B77" s="77">
        <v>1063046</v>
      </c>
      <c r="C77" s="77">
        <v>152274</v>
      </c>
      <c r="D77" s="77">
        <v>84136</v>
      </c>
      <c r="E77" s="77">
        <v>132547</v>
      </c>
      <c r="F77" s="22">
        <f>SUM(B77:E77)</f>
        <v>1432003</v>
      </c>
    </row>
    <row r="78" spans="1:6" ht="12">
      <c r="A78" s="78"/>
      <c r="B78" s="77"/>
      <c r="C78" s="77"/>
      <c r="D78" s="77"/>
      <c r="E78" s="77"/>
      <c r="F78" s="22"/>
    </row>
    <row r="79" spans="1:6" ht="12">
      <c r="A79" s="519">
        <v>2004</v>
      </c>
      <c r="B79" s="520">
        <f>SUM(B80:B81)</f>
        <v>2766309</v>
      </c>
      <c r="C79" s="520">
        <f>SUM(C80:C81)</f>
        <v>370301</v>
      </c>
      <c r="D79" s="520">
        <f>SUM(D80:D81)</f>
        <v>235756</v>
      </c>
      <c r="E79" s="520">
        <f>SUM(E80:E81)</f>
        <v>337632</v>
      </c>
      <c r="F79" s="520">
        <f>SUM(F80:F81)</f>
        <v>3709998</v>
      </c>
    </row>
    <row r="80" spans="1:6" ht="12">
      <c r="A80" s="72" t="s">
        <v>363</v>
      </c>
      <c r="B80" s="77">
        <v>1674724</v>
      </c>
      <c r="C80" s="77">
        <v>212899</v>
      </c>
      <c r="D80" s="77">
        <v>149132</v>
      </c>
      <c r="E80" s="77">
        <v>200506</v>
      </c>
      <c r="F80" s="22">
        <f>SUM(B80:E80)</f>
        <v>2237261</v>
      </c>
    </row>
    <row r="81" spans="1:6" ht="12">
      <c r="A81" s="417" t="s">
        <v>364</v>
      </c>
      <c r="B81" s="418">
        <v>1091585</v>
      </c>
      <c r="C81" s="418">
        <v>157402</v>
      </c>
      <c r="D81" s="418">
        <v>86624</v>
      </c>
      <c r="E81" s="418">
        <v>137126</v>
      </c>
      <c r="F81" s="450">
        <f>SUM(B81:E81)</f>
        <v>1472737</v>
      </c>
    </row>
    <row r="82" spans="1:6" ht="12">
      <c r="A82" s="78"/>
      <c r="B82" s="77"/>
      <c r="C82" s="77"/>
      <c r="D82" s="77"/>
      <c r="E82" s="77"/>
      <c r="F82" s="22"/>
    </row>
    <row r="83" spans="1:5" ht="15">
      <c r="A83" s="70" t="s">
        <v>1314</v>
      </c>
      <c r="E83" s="9" t="s">
        <v>1117</v>
      </c>
    </row>
    <row r="85" ht="12">
      <c r="F85" s="42" t="s">
        <v>931</v>
      </c>
    </row>
    <row r="86" spans="1:6" ht="12">
      <c r="A86" s="445"/>
      <c r="B86" s="446" t="s">
        <v>362</v>
      </c>
      <c r="C86" s="447"/>
      <c r="D86" s="447"/>
      <c r="E86" s="447"/>
      <c r="F86" s="445"/>
    </row>
    <row r="87" spans="1:6" ht="12">
      <c r="A87" s="448" t="s">
        <v>1006</v>
      </c>
      <c r="B87" s="449" t="s">
        <v>1105</v>
      </c>
      <c r="C87" s="449" t="s">
        <v>974</v>
      </c>
      <c r="D87" s="449" t="s">
        <v>975</v>
      </c>
      <c r="E87" s="449" t="s">
        <v>976</v>
      </c>
      <c r="F87" s="449" t="s">
        <v>1095</v>
      </c>
    </row>
    <row r="88" spans="1:6" ht="12">
      <c r="A88" s="519">
        <v>2005</v>
      </c>
      <c r="B88" s="520">
        <f>SUM(B89:B90)</f>
        <v>2825969</v>
      </c>
      <c r="C88" s="520">
        <f>SUM(C89:C90)</f>
        <v>381513</v>
      </c>
      <c r="D88" s="520">
        <f>SUM(D89:D90)</f>
        <v>241367</v>
      </c>
      <c r="E88" s="520">
        <f>SUM(E89:E90)</f>
        <v>348675</v>
      </c>
      <c r="F88" s="520">
        <f>SUM(F89:F90)</f>
        <v>3797524</v>
      </c>
    </row>
    <row r="89" spans="1:6" ht="12">
      <c r="A89" s="72" t="s">
        <v>363</v>
      </c>
      <c r="B89" s="77">
        <v>1703165</v>
      </c>
      <c r="C89" s="77">
        <v>219494</v>
      </c>
      <c r="D89" s="77">
        <v>152261</v>
      </c>
      <c r="E89" s="77">
        <v>206681</v>
      </c>
      <c r="F89" s="22">
        <f>SUM(B89:E89)</f>
        <v>2281601</v>
      </c>
    </row>
    <row r="90" spans="1:6" ht="12">
      <c r="A90" s="78" t="s">
        <v>364</v>
      </c>
      <c r="B90" s="77">
        <v>1122804</v>
      </c>
      <c r="C90" s="77">
        <v>162019</v>
      </c>
      <c r="D90" s="77">
        <v>89106</v>
      </c>
      <c r="E90" s="77">
        <v>141994</v>
      </c>
      <c r="F90" s="22">
        <f>SUM(B90:E90)</f>
        <v>1515923</v>
      </c>
    </row>
    <row r="91" spans="1:6" ht="12">
      <c r="A91" s="78"/>
      <c r="B91" s="77"/>
      <c r="C91" s="77"/>
      <c r="D91" s="77"/>
      <c r="E91" s="77"/>
      <c r="F91" s="79"/>
    </row>
    <row r="92" spans="1:6" ht="12">
      <c r="A92" s="519">
        <v>2006</v>
      </c>
      <c r="B92" s="520">
        <f>SUM(B93:B94)</f>
        <v>2865712</v>
      </c>
      <c r="C92" s="520">
        <f>SUM(C93:C94)</f>
        <v>392030</v>
      </c>
      <c r="D92" s="520">
        <f>SUM(D93:D94)</f>
        <v>246112</v>
      </c>
      <c r="E92" s="520">
        <f>SUM(E93:E94)</f>
        <v>358119</v>
      </c>
      <c r="F92" s="520">
        <f>SUM(F93:F94)</f>
        <v>3861973</v>
      </c>
    </row>
    <row r="93" spans="1:6" ht="12">
      <c r="A93" s="72" t="s">
        <v>363</v>
      </c>
      <c r="B93" s="77">
        <v>1715610</v>
      </c>
      <c r="C93" s="77">
        <v>224965</v>
      </c>
      <c r="D93" s="77">
        <v>154430</v>
      </c>
      <c r="E93" s="77">
        <v>211209</v>
      </c>
      <c r="F93" s="22">
        <f>SUM(B93:E93)</f>
        <v>2306214</v>
      </c>
    </row>
    <row r="94" spans="1:6" ht="12">
      <c r="A94" s="78" t="s">
        <v>364</v>
      </c>
      <c r="B94" s="77">
        <v>1150102</v>
      </c>
      <c r="C94" s="77">
        <v>167065</v>
      </c>
      <c r="D94" s="77">
        <v>91682</v>
      </c>
      <c r="E94" s="77">
        <v>146910</v>
      </c>
      <c r="F94" s="22">
        <f>SUM(B94:E94)</f>
        <v>1555759</v>
      </c>
    </row>
    <row r="95" spans="1:6" ht="12">
      <c r="A95" s="78"/>
      <c r="B95" s="77"/>
      <c r="C95" s="77"/>
      <c r="D95" s="77"/>
      <c r="E95" s="77"/>
      <c r="F95" s="22"/>
    </row>
    <row r="96" spans="1:6" ht="12">
      <c r="A96" s="519">
        <v>2007</v>
      </c>
      <c r="B96" s="520">
        <f>SUM(B97:B98)</f>
        <v>2709123</v>
      </c>
      <c r="C96" s="520">
        <f>SUM(C97:C98)</f>
        <v>358804</v>
      </c>
      <c r="D96" s="520">
        <f>SUM(D97:D98)</f>
        <v>233071</v>
      </c>
      <c r="E96" s="520">
        <f>SUM(E97:E98)</f>
        <v>330234</v>
      </c>
      <c r="F96" s="520">
        <f>SUM(F97:F98)</f>
        <v>3631232</v>
      </c>
    </row>
    <row r="97" spans="1:6" ht="12">
      <c r="A97" s="72" t="s">
        <v>363</v>
      </c>
      <c r="B97" s="77">
        <v>1604229</v>
      </c>
      <c r="C97" s="77">
        <v>203446</v>
      </c>
      <c r="D97" s="77">
        <v>143775</v>
      </c>
      <c r="E97" s="77">
        <v>191274</v>
      </c>
      <c r="F97" s="22">
        <f>SUM(B97:E97)</f>
        <v>2142724</v>
      </c>
    </row>
    <row r="98" spans="1:6" ht="12">
      <c r="A98" s="78" t="s">
        <v>364</v>
      </c>
      <c r="B98" s="77">
        <v>1104894</v>
      </c>
      <c r="C98" s="77">
        <v>155358</v>
      </c>
      <c r="D98" s="77">
        <v>89296</v>
      </c>
      <c r="E98" s="77">
        <v>138960</v>
      </c>
      <c r="F98" s="22">
        <f>SUM(B98:E98)</f>
        <v>1488508</v>
      </c>
    </row>
    <row r="99" spans="1:6" ht="12">
      <c r="A99" s="78"/>
      <c r="B99" s="77"/>
      <c r="C99" s="77"/>
      <c r="D99" s="77"/>
      <c r="E99" s="77"/>
      <c r="F99" s="22"/>
    </row>
    <row r="100" spans="1:6" ht="12">
      <c r="A100" s="519">
        <v>2008</v>
      </c>
      <c r="B100" s="520">
        <f>SUM(B101:B102)</f>
        <v>2995251</v>
      </c>
      <c r="C100" s="520">
        <f>SUM(C101:C102)</f>
        <v>413647</v>
      </c>
      <c r="D100" s="520">
        <f>SUM(D101:D102)</f>
        <v>255286</v>
      </c>
      <c r="E100" s="520">
        <f>SUM(E101:E102)</f>
        <v>382961</v>
      </c>
      <c r="F100" s="520">
        <f>SUM(F101:F102)</f>
        <v>4047145</v>
      </c>
    </row>
    <row r="101" spans="1:6" ht="12">
      <c r="A101" s="72" t="s">
        <v>363</v>
      </c>
      <c r="B101" s="77">
        <v>1780085</v>
      </c>
      <c r="C101" s="77">
        <v>237390</v>
      </c>
      <c r="D101" s="77">
        <v>158487</v>
      </c>
      <c r="E101" s="77">
        <v>224795</v>
      </c>
      <c r="F101" s="22">
        <f>SUM(B101:E101)</f>
        <v>2400757</v>
      </c>
    </row>
    <row r="102" spans="1:6" ht="12">
      <c r="A102" s="78" t="s">
        <v>364</v>
      </c>
      <c r="B102" s="77">
        <v>1215166</v>
      </c>
      <c r="C102" s="77">
        <v>176257</v>
      </c>
      <c r="D102" s="77">
        <v>96799</v>
      </c>
      <c r="E102" s="77">
        <v>158166</v>
      </c>
      <c r="F102" s="22">
        <f>SUM(B102:E102)</f>
        <v>1646388</v>
      </c>
    </row>
    <row r="103" spans="1:6" ht="12">
      <c r="A103" s="78"/>
      <c r="B103" s="77"/>
      <c r="C103" s="77"/>
      <c r="D103" s="77"/>
      <c r="E103" s="77"/>
      <c r="F103" s="22"/>
    </row>
    <row r="104" spans="1:6" ht="12">
      <c r="A104" s="519">
        <v>2009</v>
      </c>
      <c r="B104" s="520">
        <f>SUM(B105:B106)</f>
        <v>2955589</v>
      </c>
      <c r="C104" s="520">
        <f>SUM(C105:C106)</f>
        <v>437414</v>
      </c>
      <c r="D104" s="520">
        <f>SUM(D105:D106)</f>
        <v>243348</v>
      </c>
      <c r="E104" s="520">
        <f>SUM(E105:E106)</f>
        <v>441739</v>
      </c>
      <c r="F104" s="520">
        <f>SUM(F105:F106)</f>
        <v>4078090</v>
      </c>
    </row>
    <row r="105" spans="1:6" ht="12">
      <c r="A105" s="72" t="s">
        <v>363</v>
      </c>
      <c r="B105" s="77">
        <v>1754912</v>
      </c>
      <c r="C105" s="77">
        <v>253753</v>
      </c>
      <c r="D105" s="77">
        <v>149363</v>
      </c>
      <c r="E105" s="77">
        <v>264759</v>
      </c>
      <c r="F105" s="22">
        <f>SUM(B105:E105)</f>
        <v>2422787</v>
      </c>
    </row>
    <row r="106" spans="1:6" ht="12">
      <c r="A106" s="78" t="s">
        <v>364</v>
      </c>
      <c r="B106" s="77">
        <v>1200677</v>
      </c>
      <c r="C106" s="77">
        <v>183661</v>
      </c>
      <c r="D106" s="77">
        <v>93985</v>
      </c>
      <c r="E106" s="77">
        <v>176980</v>
      </c>
      <c r="F106" s="79">
        <f>SUM(B106:E106)</f>
        <v>1655303</v>
      </c>
    </row>
    <row r="107" spans="1:6" ht="12">
      <c r="A107" s="78"/>
      <c r="B107" s="77"/>
      <c r="C107" s="77"/>
      <c r="D107" s="77"/>
      <c r="E107" s="77"/>
      <c r="F107" s="79"/>
    </row>
    <row r="108" spans="1:6" ht="12">
      <c r="A108" s="519">
        <v>2010</v>
      </c>
      <c r="B108" s="520">
        <f>SUM(B109:B110)</f>
        <v>3003580</v>
      </c>
      <c r="C108" s="520">
        <f>SUM(C109:C110)</f>
        <v>413668</v>
      </c>
      <c r="D108" s="520">
        <f>SUM(D109:D110)</f>
        <v>255907</v>
      </c>
      <c r="E108" s="520">
        <f>SUM(E109:E110)</f>
        <v>389449</v>
      </c>
      <c r="F108" s="520">
        <f>SUM(F109:F110)</f>
        <v>4062604</v>
      </c>
    </row>
    <row r="109" spans="1:6" ht="12">
      <c r="A109" s="72" t="s">
        <v>363</v>
      </c>
      <c r="B109" s="38">
        <v>1773094</v>
      </c>
      <c r="C109" s="38">
        <v>236451</v>
      </c>
      <c r="D109" s="38">
        <v>157219</v>
      </c>
      <c r="E109" s="38">
        <v>226789</v>
      </c>
      <c r="F109" s="23">
        <f>SUM(B109:E109)</f>
        <v>2393553</v>
      </c>
    </row>
    <row r="110" spans="1:6" ht="12">
      <c r="A110" s="78" t="s">
        <v>364</v>
      </c>
      <c r="B110" s="77">
        <v>1230486</v>
      </c>
      <c r="C110" s="77">
        <v>177217</v>
      </c>
      <c r="D110" s="77">
        <v>98688</v>
      </c>
      <c r="E110" s="77">
        <v>162660</v>
      </c>
      <c r="F110" s="123">
        <f>SUM(B110:E110)</f>
        <v>1669051</v>
      </c>
    </row>
    <row r="111" spans="1:6" ht="12">
      <c r="A111" s="78"/>
      <c r="B111" s="77"/>
      <c r="C111" s="77"/>
      <c r="D111" s="77"/>
      <c r="E111" s="77"/>
      <c r="F111" s="123"/>
    </row>
    <row r="112" spans="1:6" ht="12">
      <c r="A112" s="519">
        <v>2011</v>
      </c>
      <c r="B112" s="520">
        <f>SUM(B113:B114)</f>
        <v>3033068</v>
      </c>
      <c r="C112" s="520">
        <f>SUM(C113:C114)</f>
        <v>420603</v>
      </c>
      <c r="D112" s="520">
        <f>SUM(D113:D114)</f>
        <v>258961</v>
      </c>
      <c r="E112" s="520">
        <f>SUM(E113:E114)</f>
        <v>395606</v>
      </c>
      <c r="F112" s="520">
        <f>SUM(F113:F114)</f>
        <v>4108238</v>
      </c>
    </row>
    <row r="113" spans="1:6" ht="12">
      <c r="A113" s="72" t="s">
        <v>363</v>
      </c>
      <c r="B113" s="38">
        <v>1782501</v>
      </c>
      <c r="C113" s="38">
        <v>239414</v>
      </c>
      <c r="D113" s="38">
        <v>158190</v>
      </c>
      <c r="E113" s="38">
        <v>229485</v>
      </c>
      <c r="F113" s="23">
        <f>SUM(B113:E113)</f>
        <v>2409590</v>
      </c>
    </row>
    <row r="114" spans="1:6" ht="12">
      <c r="A114" s="72" t="s">
        <v>364</v>
      </c>
      <c r="B114" s="77">
        <v>1250567</v>
      </c>
      <c r="C114" s="77">
        <v>181189</v>
      </c>
      <c r="D114" s="77">
        <v>100771</v>
      </c>
      <c r="E114" s="77">
        <v>166121</v>
      </c>
      <c r="F114" s="123">
        <f>SUM(B114:E114)</f>
        <v>1698648</v>
      </c>
    </row>
    <row r="115" spans="1:6" ht="12">
      <c r="A115" s="72"/>
      <c r="B115" s="77"/>
      <c r="C115" s="77"/>
      <c r="D115" s="77"/>
      <c r="E115" s="77"/>
      <c r="F115" s="123"/>
    </row>
    <row r="116" spans="1:6" ht="12">
      <c r="A116" s="519">
        <v>2012</v>
      </c>
      <c r="B116" s="520">
        <f>SUM(B117:B118)</f>
        <v>2985098</v>
      </c>
      <c r="C116" s="520">
        <f>SUM(C117:C118)</f>
        <v>444857</v>
      </c>
      <c r="D116" s="520">
        <f>SUM(D117:D118)</f>
        <v>247640</v>
      </c>
      <c r="E116" s="520">
        <f>SUM(E117:E118)</f>
        <v>456291</v>
      </c>
      <c r="F116" s="520">
        <f>SUM(F117:F118)</f>
        <v>4133886</v>
      </c>
    </row>
    <row r="117" spans="1:6" ht="12">
      <c r="A117" s="72" t="s">
        <v>363</v>
      </c>
      <c r="B117" s="77">
        <v>1753153</v>
      </c>
      <c r="C117" s="77">
        <v>255665</v>
      </c>
      <c r="D117" s="77">
        <v>149958</v>
      </c>
      <c r="E117" s="77">
        <v>269973</v>
      </c>
      <c r="F117" s="23">
        <f>SUM(B117:E117)</f>
        <v>2428749</v>
      </c>
    </row>
    <row r="118" spans="1:6" ht="12">
      <c r="A118" s="72" t="s">
        <v>364</v>
      </c>
      <c r="B118" s="77">
        <v>1231945</v>
      </c>
      <c r="C118" s="77">
        <v>189192</v>
      </c>
      <c r="D118" s="77">
        <v>97682</v>
      </c>
      <c r="E118" s="77">
        <v>186318</v>
      </c>
      <c r="F118" s="123">
        <f>SUM(B118:E118)</f>
        <v>1705137</v>
      </c>
    </row>
    <row r="119" spans="1:6" ht="12">
      <c r="A119" s="72"/>
      <c r="B119" s="77"/>
      <c r="C119" s="77"/>
      <c r="D119" s="77"/>
      <c r="E119" s="77"/>
      <c r="F119" s="123"/>
    </row>
    <row r="120" spans="1:6" ht="12">
      <c r="A120" s="519">
        <v>2013</v>
      </c>
      <c r="B120" s="520">
        <f>SUM(B121:B122)</f>
        <v>2973325</v>
      </c>
      <c r="C120" s="520">
        <f>SUM(C121:C122)</f>
        <v>443372</v>
      </c>
      <c r="D120" s="520">
        <f>SUM(D121:D122)</f>
        <v>246905</v>
      </c>
      <c r="E120" s="520">
        <f>SUM(E121:E122)</f>
        <v>455181</v>
      </c>
      <c r="F120" s="520">
        <f>SUM(F121:F122)</f>
        <v>4118783</v>
      </c>
    </row>
    <row r="121" spans="1:6" ht="12">
      <c r="A121" s="72" t="s">
        <v>363</v>
      </c>
      <c r="B121" s="77">
        <v>1743972</v>
      </c>
      <c r="C121" s="77">
        <v>253631</v>
      </c>
      <c r="D121" s="77">
        <v>149229</v>
      </c>
      <c r="E121" s="77">
        <v>268812</v>
      </c>
      <c r="F121" s="23">
        <f>SUM(B121:E121)</f>
        <v>2415644</v>
      </c>
    </row>
    <row r="122" spans="1:6" ht="12">
      <c r="A122" s="72" t="s">
        <v>364</v>
      </c>
      <c r="B122" s="77">
        <v>1229353</v>
      </c>
      <c r="C122" s="77">
        <v>189741</v>
      </c>
      <c r="D122" s="77">
        <v>97676</v>
      </c>
      <c r="E122" s="77">
        <v>186369</v>
      </c>
      <c r="F122" s="123">
        <f>SUM(B122:E122)</f>
        <v>1703139</v>
      </c>
    </row>
    <row r="123" spans="1:6" ht="12">
      <c r="A123" s="72"/>
      <c r="B123" s="77"/>
      <c r="C123" s="77"/>
      <c r="D123" s="77"/>
      <c r="E123" s="77"/>
      <c r="F123" s="123"/>
    </row>
    <row r="124" spans="1:6" ht="12">
      <c r="A124" s="519">
        <v>2014</v>
      </c>
      <c r="B124" s="520">
        <f>B125+B126</f>
        <v>2962939</v>
      </c>
      <c r="C124" s="520">
        <f>C125+C126</f>
        <v>440607</v>
      </c>
      <c r="D124" s="520">
        <f>D125+D126</f>
        <v>245166</v>
      </c>
      <c r="E124" s="520">
        <f>E125+E126</f>
        <v>453195</v>
      </c>
      <c r="F124" s="520">
        <f>F125+F126</f>
        <v>4101907</v>
      </c>
    </row>
    <row r="125" spans="1:6" ht="12">
      <c r="A125" s="72" t="s">
        <v>363</v>
      </c>
      <c r="B125" s="77">
        <v>1722718</v>
      </c>
      <c r="C125" s="77">
        <v>248882</v>
      </c>
      <c r="D125" s="77">
        <v>146418</v>
      </c>
      <c r="E125" s="77">
        <v>264767</v>
      </c>
      <c r="F125" s="23">
        <f>SUM(B125:E125)</f>
        <v>2382785</v>
      </c>
    </row>
    <row r="126" spans="1:6" ht="12">
      <c r="A126" s="72" t="s">
        <v>364</v>
      </c>
      <c r="B126" s="77">
        <v>1240221</v>
      </c>
      <c r="C126" s="77">
        <v>191725</v>
      </c>
      <c r="D126" s="77">
        <v>98748</v>
      </c>
      <c r="E126" s="77">
        <v>188428</v>
      </c>
      <c r="F126" s="23">
        <f>SUM(B126:E126)</f>
        <v>1719122</v>
      </c>
    </row>
    <row r="127" spans="1:6" ht="12">
      <c r="A127" s="72"/>
      <c r="B127" s="77"/>
      <c r="C127" s="77"/>
      <c r="D127" s="77"/>
      <c r="E127" s="77"/>
      <c r="F127" s="23"/>
    </row>
    <row r="128" spans="1:6" ht="12">
      <c r="A128" s="519">
        <v>2015</v>
      </c>
      <c r="B128" s="520">
        <f>SUM(B129:B130)</f>
        <v>2977966</v>
      </c>
      <c r="C128" s="520">
        <f>SUM(C129:C130)</f>
        <v>441587</v>
      </c>
      <c r="D128" s="520">
        <f>SUM(D129:D130)</f>
        <v>246689</v>
      </c>
      <c r="E128" s="520">
        <f>SUM(E129:E130)</f>
        <v>456051</v>
      </c>
      <c r="F128" s="520">
        <f>SUM(F129:F130)</f>
        <v>4122293</v>
      </c>
    </row>
    <row r="129" spans="1:6" ht="12">
      <c r="A129" s="78" t="s">
        <v>363</v>
      </c>
      <c r="B129" s="77">
        <v>1726041</v>
      </c>
      <c r="C129" s="77">
        <v>248520</v>
      </c>
      <c r="D129" s="77">
        <v>146788</v>
      </c>
      <c r="E129" s="77">
        <v>265387</v>
      </c>
      <c r="F129" s="123">
        <f>SUM(B129:E129)</f>
        <v>2386736</v>
      </c>
    </row>
    <row r="130" spans="1:6" ht="12">
      <c r="A130" s="78" t="s">
        <v>364</v>
      </c>
      <c r="B130" s="77">
        <v>1251925</v>
      </c>
      <c r="C130" s="77">
        <v>193067</v>
      </c>
      <c r="D130" s="77">
        <v>99901</v>
      </c>
      <c r="E130" s="77">
        <v>190664</v>
      </c>
      <c r="F130" s="123">
        <f>SUM(B130:E130)</f>
        <v>1735557</v>
      </c>
    </row>
    <row r="131" spans="1:6" ht="12">
      <c r="A131" s="78"/>
      <c r="B131" s="77"/>
      <c r="C131" s="77"/>
      <c r="D131" s="77"/>
      <c r="E131" s="77"/>
      <c r="F131" s="123"/>
    </row>
    <row r="132" spans="1:6" ht="12">
      <c r="A132" s="519">
        <v>2016</v>
      </c>
      <c r="B132" s="520">
        <f>SUM(B133:B134)</f>
        <v>2991434</v>
      </c>
      <c r="C132" s="520">
        <f>SUM(C133:C134)</f>
        <v>442643</v>
      </c>
      <c r="D132" s="520">
        <f>SUM(D133:D134)</f>
        <v>247361</v>
      </c>
      <c r="E132" s="520">
        <f>SUM(E133:E134)</f>
        <v>457012</v>
      </c>
      <c r="F132" s="520">
        <f>SUM(F133:F134)</f>
        <v>4138450</v>
      </c>
    </row>
    <row r="133" spans="1:6" ht="12">
      <c r="A133" s="78" t="s">
        <v>363</v>
      </c>
      <c r="B133" s="77">
        <v>1725871</v>
      </c>
      <c r="C133" s="77">
        <v>248055</v>
      </c>
      <c r="D133" s="77">
        <v>146420</v>
      </c>
      <c r="E133" s="77">
        <v>264883</v>
      </c>
      <c r="F133" s="123">
        <f>SUM(B133:E133)</f>
        <v>2385229</v>
      </c>
    </row>
    <row r="134" spans="1:6" ht="12">
      <c r="A134" s="78" t="s">
        <v>364</v>
      </c>
      <c r="B134" s="77">
        <v>1265563</v>
      </c>
      <c r="C134" s="77">
        <v>194588</v>
      </c>
      <c r="D134" s="77">
        <v>100941</v>
      </c>
      <c r="E134" s="77">
        <v>192129</v>
      </c>
      <c r="F134" s="123">
        <f>SUM(B134:E134)</f>
        <v>1753221</v>
      </c>
    </row>
    <row r="135" spans="1:6" ht="12">
      <c r="A135" s="78"/>
      <c r="B135" s="77"/>
      <c r="C135" s="77"/>
      <c r="D135" s="77"/>
      <c r="E135" s="77"/>
      <c r="F135" s="123"/>
    </row>
    <row r="136" spans="1:6" ht="12">
      <c r="A136" s="519">
        <v>2017</v>
      </c>
      <c r="B136" s="520">
        <f>SUM(B137:B138)</f>
        <v>3007024</v>
      </c>
      <c r="C136" s="520">
        <f>SUM(C137:C138)</f>
        <v>443069</v>
      </c>
      <c r="D136" s="520">
        <f>SUM(D137:D138)</f>
        <v>248919</v>
      </c>
      <c r="E136" s="520">
        <f>SUM(E137:E138)</f>
        <v>459050</v>
      </c>
      <c r="F136" s="520">
        <f>SUM(F137:F138)</f>
        <v>4158062</v>
      </c>
    </row>
    <row r="137" spans="1:6" ht="12">
      <c r="A137" s="78" t="s">
        <v>363</v>
      </c>
      <c r="B137" s="77">
        <v>1729154</v>
      </c>
      <c r="C137" s="77">
        <v>247245</v>
      </c>
      <c r="D137" s="77">
        <v>146644</v>
      </c>
      <c r="E137" s="77">
        <v>265093</v>
      </c>
      <c r="F137" s="123">
        <f>SUM(B137:E137)</f>
        <v>2388136</v>
      </c>
    </row>
    <row r="138" spans="1:6" ht="12">
      <c r="A138" s="78" t="s">
        <v>364</v>
      </c>
      <c r="B138" s="77">
        <v>1277870</v>
      </c>
      <c r="C138" s="77">
        <v>195824</v>
      </c>
      <c r="D138" s="77">
        <v>102275</v>
      </c>
      <c r="E138" s="77">
        <v>193957</v>
      </c>
      <c r="F138" s="123">
        <f>SUM(B138:E138)</f>
        <v>1769926</v>
      </c>
    </row>
    <row r="139" spans="1:6" ht="12">
      <c r="A139" s="78"/>
      <c r="B139" s="77"/>
      <c r="C139" s="77"/>
      <c r="D139" s="77"/>
      <c r="E139" s="77"/>
      <c r="F139" s="123"/>
    </row>
    <row r="140" spans="1:6" ht="12">
      <c r="A140" s="519">
        <v>2018</v>
      </c>
      <c r="B140" s="520">
        <f>SUM(B141:B142)+1</f>
        <v>3029466</v>
      </c>
      <c r="C140" s="520">
        <f>SUM(C141:C142)</f>
        <v>445513</v>
      </c>
      <c r="D140" s="520">
        <f>SUM(D141:D142)</f>
        <v>250452</v>
      </c>
      <c r="E140" s="520">
        <f>SUM(E141:E142)+1</f>
        <v>462086</v>
      </c>
      <c r="F140" s="520">
        <f>SUM(B140:E140)</f>
        <v>4187517</v>
      </c>
    </row>
    <row r="141" spans="1:6" ht="12">
      <c r="A141" s="78" t="s">
        <v>363</v>
      </c>
      <c r="B141" s="77">
        <v>1735352</v>
      </c>
      <c r="C141" s="77">
        <v>247454</v>
      </c>
      <c r="D141" s="77">
        <v>146914</v>
      </c>
      <c r="E141" s="77">
        <v>265841</v>
      </c>
      <c r="F141" s="123">
        <f>SUM(B141:E141)</f>
        <v>2395561</v>
      </c>
    </row>
    <row r="142" spans="1:6" ht="12">
      <c r="A142" s="417" t="s">
        <v>364</v>
      </c>
      <c r="B142" s="418">
        <v>1294113</v>
      </c>
      <c r="C142" s="418">
        <v>198059</v>
      </c>
      <c r="D142" s="418">
        <v>103538</v>
      </c>
      <c r="E142" s="418">
        <v>196244</v>
      </c>
      <c r="F142" s="122">
        <f>SUM(B142:E142)</f>
        <v>1791954</v>
      </c>
    </row>
    <row r="143" spans="1:6" ht="12">
      <c r="A143" s="78"/>
      <c r="B143" s="77"/>
      <c r="C143" s="77"/>
      <c r="D143" s="77"/>
      <c r="E143" s="77"/>
      <c r="F143" s="23"/>
    </row>
    <row r="144" ht="12">
      <c r="A144" s="336" t="s">
        <v>356</v>
      </c>
    </row>
    <row r="145" ht="15" customHeight="1">
      <c r="A145" s="2" t="s">
        <v>1114</v>
      </c>
    </row>
    <row r="146" ht="12">
      <c r="A146" s="780" t="s">
        <v>1317</v>
      </c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ht="12.75"/>
    <row r="157" spans="7:13" ht="12.75">
      <c r="G157" s="81"/>
      <c r="H157" s="81"/>
      <c r="I157" s="81"/>
      <c r="J157" s="81"/>
      <c r="K157" s="81"/>
      <c r="M157" s="71"/>
    </row>
    <row r="158" spans="7:11" ht="12.75">
      <c r="G158" s="81"/>
      <c r="H158" s="81"/>
      <c r="I158" s="81"/>
      <c r="J158" s="81"/>
      <c r="K158" s="81"/>
    </row>
    <row r="159" ht="12.75">
      <c r="B159" s="37"/>
    </row>
    <row r="160" spans="2:14" ht="12.75">
      <c r="B160" s="81"/>
      <c r="C160" s="81"/>
      <c r="D160" s="81"/>
      <c r="E160" s="81"/>
      <c r="F160" s="81"/>
      <c r="G160" s="71"/>
      <c r="H160" s="71"/>
      <c r="I160" s="71"/>
      <c r="J160" s="71"/>
      <c r="K160" s="71"/>
      <c r="L160" s="22"/>
      <c r="M160" s="22"/>
      <c r="N160" s="22"/>
    </row>
    <row r="161" spans="2:14" ht="12.75">
      <c r="B161" s="81"/>
      <c r="C161" s="81"/>
      <c r="D161" s="81"/>
      <c r="E161" s="81"/>
      <c r="F161" s="81"/>
      <c r="G161" s="71"/>
      <c r="H161" s="71"/>
      <c r="I161" s="71"/>
      <c r="J161" s="71"/>
      <c r="K161" s="76"/>
      <c r="L161" s="79"/>
      <c r="M161" s="71"/>
      <c r="N161" s="22"/>
    </row>
    <row r="162" spans="1:6" ht="12.75">
      <c r="A162"/>
      <c r="B162"/>
      <c r="C162"/>
      <c r="D162"/>
      <c r="E162"/>
      <c r="F162"/>
    </row>
    <row r="163" spans="1:6" ht="12.75">
      <c r="A163"/>
      <c r="B163" s="71"/>
      <c r="C163" s="71"/>
      <c r="D163" s="71"/>
      <c r="E163" s="71"/>
      <c r="F163" s="71"/>
    </row>
    <row r="164" spans="1:6" ht="12.75">
      <c r="A164"/>
      <c r="B164" s="71"/>
      <c r="C164" s="71"/>
      <c r="D164" s="71"/>
      <c r="E164" s="71"/>
      <c r="F164" s="71"/>
    </row>
  </sheetData>
  <sheetProtection/>
  <printOptions/>
  <pageMargins left="0.1968503937007874" right="0.7480314960629921" top="0.5511811023622047" bottom="0" header="0" footer="0"/>
  <pageSetup horizontalDpi="600" verticalDpi="600" orientation="portrait" paperSize="9" scale="80" r:id="rId1"/>
  <ignoredErrors>
    <ignoredError sqref="A35 A15:A3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selection activeCell="G19" sqref="G19"/>
    </sheetView>
  </sheetViews>
  <sheetFormatPr defaultColWidth="11.421875" defaultRowHeight="12.75"/>
  <cols>
    <col min="1" max="1" width="15.7109375" style="0" customWidth="1"/>
    <col min="2" max="2" width="23.00390625" style="0" customWidth="1"/>
    <col min="3" max="3" width="15.7109375" style="0" customWidth="1"/>
    <col min="4" max="4" width="17.7109375" style="0" customWidth="1"/>
    <col min="5" max="6" width="15.7109375" style="0" customWidth="1"/>
  </cols>
  <sheetData>
    <row r="1" spans="1:6" ht="15">
      <c r="A1" s="337" t="s">
        <v>1132</v>
      </c>
      <c r="B1" s="124"/>
      <c r="C1" s="124"/>
      <c r="D1" s="124"/>
      <c r="E1" s="124"/>
      <c r="F1" s="124"/>
    </row>
    <row r="2" spans="1:6" ht="15">
      <c r="A2" s="125" t="s">
        <v>1095</v>
      </c>
      <c r="B2" s="126"/>
      <c r="C2" s="126"/>
      <c r="D2" s="126"/>
      <c r="E2" s="126"/>
      <c r="F2" s="126"/>
    </row>
    <row r="3" spans="1:6" s="133" customFormat="1" ht="12">
      <c r="A3" s="111"/>
      <c r="B3" s="111"/>
      <c r="C3" s="111"/>
      <c r="D3" s="111"/>
      <c r="E3" s="111"/>
      <c r="F3" s="111"/>
    </row>
    <row r="4" spans="1:6" s="144" customFormat="1" ht="15" customHeight="1">
      <c r="A4" s="556"/>
      <c r="B4" s="457" t="s">
        <v>348</v>
      </c>
      <c r="C4" s="457" t="s">
        <v>350</v>
      </c>
      <c r="D4" s="457" t="s">
        <v>391</v>
      </c>
      <c r="E4" s="457" t="s">
        <v>969</v>
      </c>
      <c r="F4" s="556" t="s">
        <v>1081</v>
      </c>
    </row>
    <row r="5" spans="1:6" s="144" customFormat="1" ht="15" customHeight="1">
      <c r="A5" s="557" t="s">
        <v>950</v>
      </c>
      <c r="B5" s="557" t="s">
        <v>349</v>
      </c>
      <c r="C5" s="557" t="s">
        <v>351</v>
      </c>
      <c r="D5" s="557" t="s">
        <v>968</v>
      </c>
      <c r="E5" s="557" t="s">
        <v>286</v>
      </c>
      <c r="F5" s="558" t="s">
        <v>309</v>
      </c>
    </row>
    <row r="6" spans="1:6" s="144" customFormat="1" ht="15" customHeight="1">
      <c r="A6" s="460"/>
      <c r="B6" s="460" t="s">
        <v>951</v>
      </c>
      <c r="C6" s="460"/>
      <c r="D6" s="460" t="s">
        <v>308</v>
      </c>
      <c r="E6" s="460" t="s">
        <v>952</v>
      </c>
      <c r="F6" s="559"/>
    </row>
    <row r="7" spans="1:6" s="133" customFormat="1" ht="15" customHeight="1">
      <c r="A7" s="145"/>
      <c r="B7" s="127"/>
      <c r="C7" s="145"/>
      <c r="D7" s="145"/>
      <c r="E7" s="145"/>
      <c r="F7" s="127"/>
    </row>
    <row r="8" spans="1:6" s="37" customFormat="1" ht="15" customHeight="1">
      <c r="A8" s="230">
        <v>1622</v>
      </c>
      <c r="B8" s="282" t="s">
        <v>1041</v>
      </c>
      <c r="C8" s="285">
        <v>469</v>
      </c>
      <c r="D8" s="286">
        <v>277857331</v>
      </c>
      <c r="E8" s="287">
        <v>0.0337</v>
      </c>
      <c r="F8" s="169" t="s">
        <v>310</v>
      </c>
    </row>
    <row r="9" spans="1:6" s="37" customFormat="1" ht="15" customHeight="1">
      <c r="A9" s="508">
        <v>1024</v>
      </c>
      <c r="B9" s="473" t="s">
        <v>378</v>
      </c>
      <c r="C9" s="567">
        <v>1605</v>
      </c>
      <c r="D9" s="469">
        <v>600206815</v>
      </c>
      <c r="E9" s="568">
        <v>0.0441</v>
      </c>
      <c r="F9" s="569" t="s">
        <v>310</v>
      </c>
    </row>
    <row r="10" spans="1:6" s="37" customFormat="1" ht="15" customHeight="1">
      <c r="A10" s="230">
        <v>1236</v>
      </c>
      <c r="B10" s="282" t="s">
        <v>379</v>
      </c>
      <c r="C10" s="285">
        <v>3441</v>
      </c>
      <c r="D10" s="286">
        <v>1552815388</v>
      </c>
      <c r="E10" s="287">
        <v>0.057</v>
      </c>
      <c r="F10" s="169" t="s">
        <v>310</v>
      </c>
    </row>
    <row r="11" spans="1:6" s="37" customFormat="1" ht="15" customHeight="1">
      <c r="A11" s="508">
        <v>889</v>
      </c>
      <c r="B11" s="473" t="s">
        <v>380</v>
      </c>
      <c r="C11" s="567">
        <v>7016</v>
      </c>
      <c r="D11" s="469">
        <v>2276300016</v>
      </c>
      <c r="E11" s="568">
        <v>0.0712</v>
      </c>
      <c r="F11" s="569" t="s">
        <v>310</v>
      </c>
    </row>
    <row r="12" spans="1:6" s="37" customFormat="1" ht="15" customHeight="1">
      <c r="A12" s="230">
        <v>420</v>
      </c>
      <c r="B12" s="282" t="s">
        <v>381</v>
      </c>
      <c r="C12" s="285">
        <v>12428</v>
      </c>
      <c r="D12" s="286">
        <v>1903808437</v>
      </c>
      <c r="E12" s="287">
        <v>0.0913</v>
      </c>
      <c r="F12" s="169" t="s">
        <v>310</v>
      </c>
    </row>
    <row r="13" spans="1:6" s="37" customFormat="1" ht="15" customHeight="1">
      <c r="A13" s="508">
        <v>261</v>
      </c>
      <c r="B13" s="473" t="s">
        <v>382</v>
      </c>
      <c r="C13" s="567">
        <v>17163</v>
      </c>
      <c r="D13" s="469">
        <v>1633019265</v>
      </c>
      <c r="E13" s="568">
        <v>0.0694</v>
      </c>
      <c r="F13" s="569" t="s">
        <v>310</v>
      </c>
    </row>
    <row r="14" spans="1:6" s="37" customFormat="1" ht="15" customHeight="1">
      <c r="A14" s="230">
        <v>438</v>
      </c>
      <c r="B14" s="282" t="s">
        <v>383</v>
      </c>
      <c r="C14" s="285">
        <v>28791</v>
      </c>
      <c r="D14" s="286">
        <v>4606622835</v>
      </c>
      <c r="E14" s="287">
        <v>0.0666</v>
      </c>
      <c r="F14" s="169" t="s">
        <v>310</v>
      </c>
    </row>
    <row r="15" spans="1:6" s="37" customFormat="1" ht="15" customHeight="1">
      <c r="A15" s="508">
        <v>57</v>
      </c>
      <c r="B15" s="473" t="s">
        <v>1038</v>
      </c>
      <c r="C15" s="567">
        <v>63205</v>
      </c>
      <c r="D15" s="469">
        <v>1315092437</v>
      </c>
      <c r="E15" s="568">
        <v>0.0545</v>
      </c>
      <c r="F15" s="569" t="s">
        <v>310</v>
      </c>
    </row>
    <row r="16" spans="1:6" s="37" customFormat="1" ht="15" customHeight="1">
      <c r="A16" s="230">
        <v>27</v>
      </c>
      <c r="B16" s="282" t="s">
        <v>1023</v>
      </c>
      <c r="C16" s="285">
        <v>86685</v>
      </c>
      <c r="D16" s="286">
        <v>855136449</v>
      </c>
      <c r="E16" s="287">
        <v>0.0377</v>
      </c>
      <c r="F16" s="169" t="s">
        <v>310</v>
      </c>
    </row>
    <row r="17" spans="1:6" s="37" customFormat="1" ht="15" customHeight="1">
      <c r="A17" s="508">
        <v>34</v>
      </c>
      <c r="B17" s="473" t="s">
        <v>1024</v>
      </c>
      <c r="C17" s="567">
        <v>147149</v>
      </c>
      <c r="D17" s="469">
        <v>1819137969</v>
      </c>
      <c r="E17" s="568">
        <v>0.0506</v>
      </c>
      <c r="F17" s="569" t="s">
        <v>310</v>
      </c>
    </row>
    <row r="18" spans="1:6" s="37" customFormat="1" ht="15" customHeight="1">
      <c r="A18" s="284"/>
      <c r="B18" s="284"/>
      <c r="C18" s="283"/>
      <c r="D18" s="283"/>
      <c r="E18" s="288"/>
      <c r="F18" s="44"/>
    </row>
    <row r="19" spans="1:6" s="162" customFormat="1" ht="15" customHeight="1">
      <c r="A19" s="560" t="s">
        <v>340</v>
      </c>
      <c r="B19" s="560"/>
      <c r="C19" s="560" t="s">
        <v>350</v>
      </c>
      <c r="D19" s="560" t="s">
        <v>341</v>
      </c>
      <c r="E19" s="561" t="s">
        <v>342</v>
      </c>
      <c r="F19" s="562"/>
    </row>
    <row r="20" spans="1:6" s="162" customFormat="1" ht="15.75" customHeight="1">
      <c r="A20" s="563">
        <v>6007</v>
      </c>
      <c r="B20" s="563"/>
      <c r="C20" s="564">
        <v>7679</v>
      </c>
      <c r="D20" s="564">
        <v>16839996941</v>
      </c>
      <c r="E20" s="565">
        <v>0.0642</v>
      </c>
      <c r="F20" s="566"/>
    </row>
    <row r="21" spans="1:6" s="162" customFormat="1" ht="15.75" customHeight="1">
      <c r="A21" s="255"/>
      <c r="B21" s="203"/>
      <c r="C21" s="255"/>
      <c r="D21" s="255"/>
      <c r="E21" s="256"/>
      <c r="F21" s="257"/>
    </row>
    <row r="22" spans="1:6" s="133" customFormat="1" ht="15" customHeight="1">
      <c r="A22" s="31" t="s">
        <v>311</v>
      </c>
      <c r="B22" s="111"/>
      <c r="C22" s="111"/>
      <c r="D22" s="111"/>
      <c r="E22" s="111"/>
      <c r="F22" s="111"/>
    </row>
    <row r="23" spans="1:9" s="37" customFormat="1" ht="15" customHeight="1">
      <c r="A23" s="336" t="s">
        <v>1154</v>
      </c>
      <c r="B23" s="111"/>
      <c r="C23" s="111"/>
      <c r="D23" s="111"/>
      <c r="E23" s="111"/>
      <c r="F23" s="111"/>
      <c r="G23" s="111"/>
      <c r="H23" s="111"/>
      <c r="I23" s="111"/>
    </row>
    <row r="24" spans="1:9" ht="12.75">
      <c r="A24" s="767"/>
      <c r="B24" s="131"/>
      <c r="C24" s="131"/>
      <c r="D24" s="215"/>
      <c r="E24" s="131"/>
      <c r="F24" s="131"/>
      <c r="G24" s="131"/>
      <c r="H24" s="131"/>
      <c r="I24" s="131"/>
    </row>
    <row r="25" spans="2:9" ht="12.75">
      <c r="B25" s="131"/>
      <c r="C25" s="215"/>
      <c r="D25" s="131"/>
      <c r="E25" s="131"/>
      <c r="F25" s="131"/>
      <c r="G25" s="131"/>
      <c r="H25" s="131"/>
      <c r="I25" s="131"/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zoomScalePageLayoutView="0" workbookViewId="0" topLeftCell="A1">
      <selection activeCell="G19" sqref="G19"/>
    </sheetView>
  </sheetViews>
  <sheetFormatPr defaultColWidth="11.421875" defaultRowHeight="12.75"/>
  <cols>
    <col min="1" max="1" width="15.7109375" style="0" customWidth="1"/>
    <col min="2" max="2" width="21.8515625" style="0" customWidth="1"/>
    <col min="3" max="3" width="15.7109375" style="0" customWidth="1"/>
    <col min="4" max="4" width="17.7109375" style="0" customWidth="1"/>
    <col min="5" max="6" width="15.7109375" style="0" customWidth="1"/>
  </cols>
  <sheetData>
    <row r="1" spans="1:6" s="128" customFormat="1" ht="15" customHeight="1">
      <c r="A1" s="337" t="s">
        <v>1134</v>
      </c>
      <c r="B1" s="132"/>
      <c r="C1" s="132"/>
      <c r="D1" s="132"/>
      <c r="E1" s="132"/>
      <c r="F1" s="132"/>
    </row>
    <row r="2" spans="1:6" s="128" customFormat="1" ht="15" customHeight="1">
      <c r="A2" s="125" t="s">
        <v>953</v>
      </c>
      <c r="B2" s="126"/>
      <c r="C2" s="126"/>
      <c r="D2" s="126"/>
      <c r="E2" s="126"/>
      <c r="F2" s="126"/>
    </row>
    <row r="3" spans="1:6" ht="15" customHeight="1">
      <c r="A3" s="131"/>
      <c r="B3" s="131"/>
      <c r="C3" s="131"/>
      <c r="D3" s="131"/>
      <c r="E3" s="131"/>
      <c r="F3" s="131"/>
    </row>
    <row r="4" spans="1:6" s="144" customFormat="1" ht="15" customHeight="1">
      <c r="A4" s="457"/>
      <c r="B4" s="457" t="s">
        <v>348</v>
      </c>
      <c r="C4" s="457" t="s">
        <v>350</v>
      </c>
      <c r="D4" s="457" t="s">
        <v>391</v>
      </c>
      <c r="E4" s="457" t="s">
        <v>969</v>
      </c>
      <c r="F4" s="556" t="s">
        <v>1081</v>
      </c>
    </row>
    <row r="5" spans="1:6" s="144" customFormat="1" ht="15" customHeight="1">
      <c r="A5" s="557" t="s">
        <v>950</v>
      </c>
      <c r="B5" s="557" t="s">
        <v>349</v>
      </c>
      <c r="C5" s="557" t="s">
        <v>351</v>
      </c>
      <c r="D5" s="557" t="s">
        <v>968</v>
      </c>
      <c r="E5" s="557" t="s">
        <v>286</v>
      </c>
      <c r="F5" s="558" t="s">
        <v>309</v>
      </c>
    </row>
    <row r="6" spans="1:6" s="144" customFormat="1" ht="15" customHeight="1">
      <c r="A6" s="460"/>
      <c r="B6" s="460" t="s">
        <v>951</v>
      </c>
      <c r="C6" s="460"/>
      <c r="D6" s="460" t="s">
        <v>308</v>
      </c>
      <c r="E6" s="460" t="s">
        <v>952</v>
      </c>
      <c r="F6" s="559"/>
    </row>
    <row r="7" spans="1:6" s="133" customFormat="1" ht="15" customHeight="1">
      <c r="A7" s="145"/>
      <c r="B7" s="145"/>
      <c r="C7" s="145"/>
      <c r="D7" s="145"/>
      <c r="E7" s="145"/>
      <c r="F7" s="127"/>
    </row>
    <row r="8" spans="1:6" s="133" customFormat="1" ht="15" customHeight="1">
      <c r="A8" s="312">
        <v>353</v>
      </c>
      <c r="B8" s="282" t="s">
        <v>1041</v>
      </c>
      <c r="C8" s="289">
        <v>512</v>
      </c>
      <c r="D8" s="290">
        <v>65951653</v>
      </c>
      <c r="E8" s="292">
        <v>0.0286</v>
      </c>
      <c r="F8" s="221" t="s">
        <v>310</v>
      </c>
    </row>
    <row r="9" spans="1:6" s="37" customFormat="1" ht="15" customHeight="1">
      <c r="A9" s="312">
        <v>140</v>
      </c>
      <c r="B9" s="282" t="s">
        <v>378</v>
      </c>
      <c r="C9" s="289">
        <v>1276</v>
      </c>
      <c r="D9" s="290">
        <v>64989219</v>
      </c>
      <c r="E9" s="292">
        <v>0.0251</v>
      </c>
      <c r="F9" s="221" t="s">
        <v>310</v>
      </c>
    </row>
    <row r="10" spans="1:6" s="37" customFormat="1" ht="15" customHeight="1">
      <c r="A10" s="312">
        <v>463</v>
      </c>
      <c r="B10" s="282" t="s">
        <v>379</v>
      </c>
      <c r="C10" s="289">
        <v>3622</v>
      </c>
      <c r="D10" s="290">
        <v>612686408</v>
      </c>
      <c r="E10" s="292">
        <v>0.0324</v>
      </c>
      <c r="F10" s="221" t="s">
        <v>310</v>
      </c>
    </row>
    <row r="11" spans="1:6" s="37" customFormat="1" ht="15" customHeight="1">
      <c r="A11" s="312">
        <v>248</v>
      </c>
      <c r="B11" s="282" t="s">
        <v>380</v>
      </c>
      <c r="C11" s="289">
        <v>7380</v>
      </c>
      <c r="D11" s="290">
        <v>669122653</v>
      </c>
      <c r="E11" s="292">
        <v>0.0658</v>
      </c>
      <c r="F11" s="221" t="s">
        <v>310</v>
      </c>
    </row>
    <row r="12" spans="1:6" s="37" customFormat="1" ht="15" customHeight="1">
      <c r="A12" s="312">
        <v>225</v>
      </c>
      <c r="B12" s="282" t="s">
        <v>381</v>
      </c>
      <c r="C12" s="289">
        <v>12426</v>
      </c>
      <c r="D12" s="290">
        <v>1021704158</v>
      </c>
      <c r="E12" s="292">
        <v>0.0785</v>
      </c>
      <c r="F12" s="221" t="s">
        <v>310</v>
      </c>
    </row>
    <row r="13" spans="1:6" s="37" customFormat="1" ht="15" customHeight="1">
      <c r="A13" s="312">
        <v>206</v>
      </c>
      <c r="B13" s="282" t="s">
        <v>382</v>
      </c>
      <c r="C13" s="289">
        <v>17430</v>
      </c>
      <c r="D13" s="290">
        <v>1312009377</v>
      </c>
      <c r="E13" s="292">
        <v>0.0693</v>
      </c>
      <c r="F13" s="221" t="s">
        <v>310</v>
      </c>
    </row>
    <row r="14" spans="1:6" s="37" customFormat="1" ht="15" customHeight="1">
      <c r="A14" s="312">
        <v>331</v>
      </c>
      <c r="B14" s="282" t="s">
        <v>383</v>
      </c>
      <c r="C14" s="289">
        <v>29814</v>
      </c>
      <c r="D14" s="290">
        <v>3600636631</v>
      </c>
      <c r="E14" s="292">
        <v>0.0665</v>
      </c>
      <c r="F14" s="221" t="s">
        <v>310</v>
      </c>
    </row>
    <row r="15" spans="1:6" s="37" customFormat="1" ht="15" customHeight="1">
      <c r="A15" s="312">
        <v>57</v>
      </c>
      <c r="B15" s="282" t="s">
        <v>1038</v>
      </c>
      <c r="C15" s="289">
        <v>63205</v>
      </c>
      <c r="D15" s="290">
        <v>1315092437</v>
      </c>
      <c r="E15" s="292">
        <v>0.0545</v>
      </c>
      <c r="F15" s="221" t="s">
        <v>310</v>
      </c>
    </row>
    <row r="16" spans="1:6" s="37" customFormat="1" ht="15" customHeight="1">
      <c r="A16" s="312">
        <v>27</v>
      </c>
      <c r="B16" s="282" t="s">
        <v>1023</v>
      </c>
      <c r="C16" s="289">
        <v>86685</v>
      </c>
      <c r="D16" s="290">
        <v>855136449</v>
      </c>
      <c r="E16" s="292">
        <v>0.0377</v>
      </c>
      <c r="F16" s="221" t="s">
        <v>310</v>
      </c>
    </row>
    <row r="17" spans="1:6" s="37" customFormat="1" ht="15" customHeight="1">
      <c r="A17" s="312">
        <v>30</v>
      </c>
      <c r="B17" s="282" t="s">
        <v>1024</v>
      </c>
      <c r="C17" s="289">
        <v>145528</v>
      </c>
      <c r="D17" s="290">
        <v>1602837472</v>
      </c>
      <c r="E17" s="222">
        <v>0.0506</v>
      </c>
      <c r="F17" s="221" t="s">
        <v>310</v>
      </c>
    </row>
    <row r="18" spans="1:6" s="37" customFormat="1" ht="15" customHeight="1">
      <c r="A18" s="220"/>
      <c r="B18" s="217"/>
      <c r="C18" s="218"/>
      <c r="D18" s="291"/>
      <c r="E18" s="219"/>
      <c r="F18" s="217"/>
    </row>
    <row r="19" spans="1:6" s="162" customFormat="1" ht="15" customHeight="1">
      <c r="A19" s="579" t="s">
        <v>340</v>
      </c>
      <c r="B19" s="576"/>
      <c r="C19" s="574" t="s">
        <v>350</v>
      </c>
      <c r="D19" s="574" t="s">
        <v>341</v>
      </c>
      <c r="E19" s="576" t="s">
        <v>342</v>
      </c>
      <c r="F19" s="580"/>
    </row>
    <row r="20" spans="1:6" s="162" customFormat="1" ht="15" customHeight="1">
      <c r="A20" s="581">
        <v>2081</v>
      </c>
      <c r="B20" s="582"/>
      <c r="C20" s="564">
        <v>9901</v>
      </c>
      <c r="D20" s="564">
        <v>7519472620</v>
      </c>
      <c r="E20" s="583">
        <v>0.0607</v>
      </c>
      <c r="F20" s="571"/>
    </row>
    <row r="21" spans="1:6" s="162" customFormat="1" ht="15" customHeight="1">
      <c r="A21" s="29"/>
      <c r="B21" s="261"/>
      <c r="C21" s="29"/>
      <c r="D21" s="29"/>
      <c r="E21" s="262"/>
      <c r="F21" s="257"/>
    </row>
    <row r="22" spans="1:6" s="133" customFormat="1" ht="15" customHeight="1">
      <c r="A22" s="31" t="s">
        <v>311</v>
      </c>
      <c r="B22" s="146"/>
      <c r="C22" s="146"/>
      <c r="D22" s="146"/>
      <c r="E22" s="146"/>
      <c r="F22" s="146"/>
    </row>
    <row r="23" spans="1:6" s="37" customFormat="1" ht="15" customHeight="1">
      <c r="A23" s="336" t="s">
        <v>1154</v>
      </c>
      <c r="B23" s="111"/>
      <c r="C23" s="111"/>
      <c r="D23" s="111"/>
      <c r="E23" s="111"/>
      <c r="F23" s="111"/>
    </row>
    <row r="24" ht="12.75">
      <c r="A24" s="767"/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DPTOP 2005. Carreteres (trànsit)</dc:title>
  <dc:subject>Indicadors diversos sobre el trànsit a les carreteres de Catalunya com  dades del parc de vehicles a Catalunya per municipis, comarques i demarcacions territorials, la matriculació de vehicles per tipologia i per demarcacions territorials, entre d'altres.</dc:subject>
  <dc:creator>Generalitat de Catalunya. Departament de Política Territorial i Obres Públiques</dc:creator>
  <cp:keywords>parc de vehicles; matriculació; cens de conductors; intensitat de circulació; trànsit registrat; accidents de trànsit; avaries; CIM; IMD; codi carretera; tram.</cp:keywords>
  <dc:description/>
  <cp:lastModifiedBy>Castillo Salvo, Maria Isabel</cp:lastModifiedBy>
  <cp:lastPrinted>2020-02-19T14:07:01Z</cp:lastPrinted>
  <dcterms:created xsi:type="dcterms:W3CDTF">1999-09-30T14:35:43Z</dcterms:created>
  <dcterms:modified xsi:type="dcterms:W3CDTF">2020-02-19T14:08:45Z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