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6324220n\Downloads\"/>
    </mc:Choice>
  </mc:AlternateContent>
  <bookViews>
    <workbookView xWindow="0" yWindow="252" windowWidth="11880" windowHeight="6120" tabRatio="680"/>
  </bookViews>
  <sheets>
    <sheet name="Índex" sheetId="23" r:id="rId1"/>
    <sheet name="Pàg. 1" sheetId="24" r:id="rId2"/>
    <sheet name="Pàg. 2" sheetId="25" r:id="rId3"/>
    <sheet name="Pàg. 3" sheetId="26" r:id="rId4"/>
    <sheet name="Pàg. 4" sheetId="34" r:id="rId5"/>
    <sheet name="Pàg.5" sheetId="33" r:id="rId6"/>
    <sheet name="Pàg. 6" sheetId="28" r:id="rId7"/>
    <sheet name="Pàg. 7" sheetId="35" r:id="rId8"/>
    <sheet name="Pàg. 8" sheetId="30" r:id="rId9"/>
    <sheet name="Pàg. 9" sheetId="29" r:id="rId10"/>
    <sheet name="Pàg. 10" sheetId="32" r:id="rId11"/>
  </sheets>
  <externalReferences>
    <externalReference r:id="rId12"/>
  </externalReferences>
  <definedNames>
    <definedName name="_xlnm.Print_Area" localSheetId="1">'Pàg. 1'!$A$1:$J$29</definedName>
    <definedName name="D_I">[1]Criterios!$B$14</definedName>
    <definedName name="J_V">[1]Criterios!$B$13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33" l="1"/>
  <c r="L33" i="34"/>
  <c r="L26" i="34"/>
  <c r="H59" i="25"/>
  <c r="H58" i="25"/>
  <c r="H57" i="25"/>
  <c r="H56" i="25"/>
  <c r="H55" i="25"/>
  <c r="C50" i="25"/>
  <c r="L54" i="28"/>
  <c r="K79" i="33"/>
  <c r="J79" i="33"/>
  <c r="I79" i="33"/>
  <c r="H79" i="33"/>
  <c r="G79" i="33"/>
  <c r="F79" i="33"/>
  <c r="E79" i="33"/>
  <c r="D79" i="33"/>
  <c r="C79" i="33"/>
  <c r="L79" i="33"/>
  <c r="H65" i="33"/>
  <c r="H64" i="33"/>
  <c r="H63" i="33"/>
  <c r="H62" i="33"/>
  <c r="H61" i="33"/>
  <c r="H59" i="33"/>
  <c r="H58" i="33"/>
  <c r="H57" i="33"/>
  <c r="H56" i="33"/>
  <c r="H55" i="33"/>
  <c r="H54" i="33"/>
  <c r="H53" i="33"/>
  <c r="H52" i="33"/>
  <c r="H51" i="33"/>
  <c r="G50" i="33"/>
  <c r="F50" i="33"/>
  <c r="E50" i="33"/>
  <c r="D50" i="33"/>
  <c r="C50" i="33"/>
  <c r="H49" i="33"/>
  <c r="H48" i="33"/>
  <c r="H47" i="33"/>
  <c r="H46" i="33"/>
  <c r="H45" i="33"/>
  <c r="H44" i="33"/>
  <c r="H43" i="33"/>
  <c r="G42" i="33"/>
  <c r="F42" i="33"/>
  <c r="F66" i="33"/>
  <c r="E42" i="33"/>
  <c r="D42" i="33"/>
  <c r="C42" i="33"/>
  <c r="L30" i="33"/>
  <c r="L22" i="33"/>
  <c r="L19" i="33"/>
  <c r="L36" i="33"/>
  <c r="L10" i="33"/>
  <c r="K30" i="33"/>
  <c r="J30" i="33"/>
  <c r="I30" i="33"/>
  <c r="H30" i="33"/>
  <c r="G30" i="33"/>
  <c r="F30" i="33"/>
  <c r="E30" i="33"/>
  <c r="D30" i="33"/>
  <c r="C30" i="33"/>
  <c r="K22" i="33"/>
  <c r="J22" i="33"/>
  <c r="I22" i="33"/>
  <c r="H22" i="33"/>
  <c r="G22" i="33"/>
  <c r="F22" i="33"/>
  <c r="E22" i="33"/>
  <c r="D22" i="33"/>
  <c r="C22" i="33"/>
  <c r="K19" i="33"/>
  <c r="J19" i="33"/>
  <c r="J20" i="25"/>
  <c r="I19" i="33"/>
  <c r="I20" i="25"/>
  <c r="H19" i="33"/>
  <c r="H36" i="33"/>
  <c r="H10" i="33"/>
  <c r="G19" i="33"/>
  <c r="G10" i="33"/>
  <c r="F19" i="33"/>
  <c r="F20" i="25"/>
  <c r="E19" i="33"/>
  <c r="E10" i="33"/>
  <c r="D19" i="33"/>
  <c r="D10" i="33"/>
  <c r="D36" i="33"/>
  <c r="C19" i="33"/>
  <c r="K18" i="33"/>
  <c r="J18" i="33"/>
  <c r="I18" i="33"/>
  <c r="H18" i="33"/>
  <c r="G18" i="33"/>
  <c r="F18" i="33"/>
  <c r="E18" i="33"/>
  <c r="D18" i="33"/>
  <c r="C18" i="33"/>
  <c r="L15" i="34"/>
  <c r="L9" i="34"/>
  <c r="L8" i="34"/>
  <c r="L246" i="26"/>
  <c r="L243" i="26"/>
  <c r="L233" i="26"/>
  <c r="L224" i="26"/>
  <c r="L250" i="26"/>
  <c r="L214" i="26"/>
  <c r="L211" i="26"/>
  <c r="L201" i="26"/>
  <c r="L192" i="26"/>
  <c r="L182" i="26"/>
  <c r="L179" i="26"/>
  <c r="L169" i="26"/>
  <c r="L160" i="26"/>
  <c r="L186" i="26"/>
  <c r="L150" i="26"/>
  <c r="L147" i="26"/>
  <c r="L137" i="26"/>
  <c r="L128" i="26"/>
  <c r="L119" i="26"/>
  <c r="L116" i="26"/>
  <c r="L107" i="26"/>
  <c r="L98" i="26"/>
  <c r="L122" i="26"/>
  <c r="L89" i="26"/>
  <c r="L86" i="26"/>
  <c r="L77" i="26"/>
  <c r="L68" i="26"/>
  <c r="L59" i="26"/>
  <c r="L56" i="26"/>
  <c r="L47" i="26"/>
  <c r="L38" i="26"/>
  <c r="L29" i="26"/>
  <c r="L26" i="26"/>
  <c r="L17" i="26"/>
  <c r="L8" i="26"/>
  <c r="C66" i="33"/>
  <c r="D66" i="33"/>
  <c r="G66" i="33"/>
  <c r="E66" i="33"/>
  <c r="H60" i="33"/>
  <c r="H50" i="33"/>
  <c r="H42" i="33"/>
  <c r="G20" i="25"/>
  <c r="J10" i="33"/>
  <c r="H20" i="25"/>
  <c r="I10" i="33"/>
  <c r="E20" i="25"/>
  <c r="E36" i="33"/>
  <c r="C36" i="33"/>
  <c r="K36" i="33"/>
  <c r="I36" i="33"/>
  <c r="G36" i="33"/>
  <c r="C20" i="25"/>
  <c r="K20" i="25"/>
  <c r="F10" i="33"/>
  <c r="J36" i="33"/>
  <c r="D20" i="25"/>
  <c r="L20" i="25"/>
  <c r="K10" i="33"/>
  <c r="C10" i="33"/>
  <c r="F36" i="33"/>
  <c r="L154" i="26"/>
  <c r="L62" i="26"/>
  <c r="L32" i="26"/>
  <c r="L92" i="26"/>
  <c r="L218" i="26"/>
  <c r="H66" i="33"/>
  <c r="H54" i="25"/>
  <c r="H53" i="25"/>
  <c r="H52" i="25"/>
  <c r="H51" i="25"/>
  <c r="G50" i="25"/>
  <c r="F50" i="25"/>
  <c r="E50" i="25"/>
  <c r="D50" i="25"/>
  <c r="H49" i="25"/>
  <c r="H48" i="25"/>
  <c r="H47" i="25"/>
  <c r="H46" i="25"/>
  <c r="H45" i="25"/>
  <c r="H44" i="25"/>
  <c r="H43" i="25"/>
  <c r="H42" i="25"/>
  <c r="H41" i="25"/>
  <c r="H40" i="25"/>
  <c r="H39" i="25"/>
  <c r="C38" i="25"/>
  <c r="C37" i="25"/>
  <c r="G37" i="25"/>
  <c r="F37" i="25"/>
  <c r="E37" i="25"/>
  <c r="D37" i="25"/>
  <c r="H36" i="25"/>
  <c r="H35" i="25"/>
  <c r="H34" i="25"/>
  <c r="H33" i="25"/>
  <c r="G32" i="25"/>
  <c r="F32" i="25"/>
  <c r="F31" i="25"/>
  <c r="E32" i="25"/>
  <c r="E31" i="25"/>
  <c r="D32" i="25"/>
  <c r="D31" i="25"/>
  <c r="C32" i="25"/>
  <c r="H30" i="25"/>
  <c r="L9" i="25"/>
  <c r="L8" i="25"/>
  <c r="G31" i="25"/>
  <c r="H37" i="25"/>
  <c r="H32" i="25"/>
  <c r="H38" i="25"/>
  <c r="H50" i="25"/>
  <c r="C31" i="25"/>
  <c r="H31" i="25"/>
  <c r="L94" i="33"/>
  <c r="L81" i="33"/>
  <c r="L31" i="30"/>
  <c r="L30" i="30"/>
  <c r="L29" i="30"/>
  <c r="L23" i="30"/>
  <c r="L28" i="32"/>
  <c r="L34" i="32"/>
  <c r="L63" i="29"/>
  <c r="L64" i="29"/>
  <c r="L72" i="29"/>
  <c r="L44" i="29"/>
  <c r="L50" i="29"/>
  <c r="L24" i="29"/>
  <c r="L21" i="30"/>
  <c r="L28" i="30"/>
  <c r="L32" i="30"/>
  <c r="L11" i="28"/>
  <c r="L9" i="28"/>
  <c r="L16" i="28"/>
  <c r="L17" i="28"/>
  <c r="L18" i="28"/>
  <c r="L114" i="33"/>
  <c r="L118" i="33"/>
  <c r="L101" i="33"/>
  <c r="L82" i="33"/>
  <c r="L87" i="33"/>
  <c r="L83" i="33"/>
  <c r="L12" i="33"/>
  <c r="L21" i="24"/>
  <c r="K46" i="34"/>
  <c r="K39" i="34"/>
  <c r="J46" i="34"/>
  <c r="J39" i="34"/>
  <c r="I46" i="34"/>
  <c r="I39" i="34"/>
  <c r="H46" i="34"/>
  <c r="G46" i="34"/>
  <c r="G39" i="34"/>
  <c r="F46" i="34"/>
  <c r="F39" i="34"/>
  <c r="H39" i="34"/>
  <c r="D269" i="26"/>
  <c r="E269" i="26"/>
  <c r="F269" i="26"/>
  <c r="G269" i="26"/>
  <c r="H269" i="26"/>
  <c r="I269" i="26"/>
  <c r="J269" i="26"/>
  <c r="K269" i="26"/>
  <c r="D262" i="26"/>
  <c r="E262" i="26"/>
  <c r="F262" i="26"/>
  <c r="G262" i="26"/>
  <c r="H262" i="26"/>
  <c r="I262" i="26"/>
  <c r="J262" i="26"/>
  <c r="K262" i="26"/>
  <c r="C262" i="26"/>
  <c r="L10" i="25"/>
  <c r="L20" i="24"/>
  <c r="C9" i="25"/>
  <c r="D9" i="25"/>
  <c r="E9" i="25"/>
  <c r="F9" i="25"/>
  <c r="G9" i="25"/>
  <c r="H9" i="25"/>
  <c r="I9" i="25"/>
  <c r="J9" i="25"/>
  <c r="K9" i="25"/>
  <c r="L16" i="24"/>
  <c r="K8" i="25"/>
  <c r="J8" i="25"/>
  <c r="I8" i="25"/>
  <c r="H8" i="25"/>
  <c r="G8" i="25"/>
  <c r="F8" i="25"/>
  <c r="E8" i="25"/>
  <c r="D8" i="25"/>
  <c r="C8" i="25"/>
  <c r="C14" i="24"/>
  <c r="D14" i="24"/>
  <c r="E14" i="24"/>
  <c r="F14" i="24"/>
  <c r="G14" i="24"/>
  <c r="H14" i="24"/>
  <c r="I14" i="24"/>
  <c r="J14" i="24"/>
  <c r="K14" i="24"/>
  <c r="L14" i="24"/>
  <c r="K13" i="24"/>
  <c r="J13" i="24"/>
  <c r="I13" i="24"/>
  <c r="H13" i="24"/>
  <c r="G13" i="24"/>
  <c r="F13" i="24"/>
  <c r="E13" i="24"/>
  <c r="D13" i="24"/>
  <c r="C13" i="24"/>
  <c r="L13" i="24"/>
  <c r="L6" i="24"/>
  <c r="L8" i="24"/>
  <c r="L9" i="33"/>
  <c r="L17" i="24"/>
  <c r="L20" i="30"/>
  <c r="L121" i="33"/>
  <c r="L80" i="33"/>
  <c r="L18" i="24"/>
  <c r="L52" i="34"/>
  <c r="L12" i="24"/>
  <c r="L11" i="24"/>
  <c r="L10" i="24"/>
  <c r="L23" i="24"/>
  <c r="L9" i="24"/>
  <c r="L13" i="33"/>
  <c r="L22" i="24"/>
  <c r="L24" i="24"/>
  <c r="L26" i="24"/>
  <c r="L25" i="24"/>
  <c r="K16" i="35"/>
  <c r="K8" i="35"/>
  <c r="K44" i="29"/>
  <c r="C12" i="23"/>
  <c r="C15" i="23"/>
  <c r="J8" i="35"/>
  <c r="C17" i="35"/>
  <c r="C16" i="35"/>
  <c r="D17" i="35"/>
  <c r="D16" i="35"/>
  <c r="E17" i="35"/>
  <c r="E16" i="35"/>
  <c r="F17" i="35"/>
  <c r="F16" i="35"/>
  <c r="G17" i="35"/>
  <c r="G16" i="35"/>
  <c r="H17" i="35"/>
  <c r="I17" i="35"/>
  <c r="I16" i="35"/>
  <c r="J17" i="35"/>
  <c r="J16" i="35"/>
  <c r="I34" i="35"/>
  <c r="K34" i="35"/>
  <c r="J34" i="35"/>
  <c r="H19" i="35"/>
  <c r="I14" i="35"/>
  <c r="I13" i="35"/>
  <c r="H13" i="35"/>
  <c r="G13" i="35"/>
  <c r="F13" i="35"/>
  <c r="E13" i="35"/>
  <c r="D13" i="35"/>
  <c r="C13" i="35"/>
  <c r="I12" i="35"/>
  <c r="H12" i="35"/>
  <c r="G12" i="35"/>
  <c r="F12" i="35"/>
  <c r="E12" i="35"/>
  <c r="D12" i="35"/>
  <c r="C12" i="35"/>
  <c r="F8" i="35"/>
  <c r="H8" i="35"/>
  <c r="D8" i="35"/>
  <c r="H16" i="35"/>
  <c r="E8" i="35"/>
  <c r="I8" i="35"/>
  <c r="C8" i="35"/>
  <c r="G8" i="35"/>
  <c r="C147" i="26"/>
  <c r="D147" i="26"/>
  <c r="E147" i="26"/>
  <c r="F147" i="26"/>
  <c r="G147" i="26"/>
  <c r="H147" i="26"/>
  <c r="I147" i="26"/>
  <c r="J147" i="26"/>
  <c r="K147" i="26"/>
  <c r="D9" i="28"/>
  <c r="E9" i="28"/>
  <c r="F9" i="28"/>
  <c r="G9" i="28"/>
  <c r="H9" i="28"/>
  <c r="I9" i="28"/>
  <c r="J9" i="28"/>
  <c r="K9" i="28"/>
  <c r="C9" i="28"/>
  <c r="C269" i="26"/>
  <c r="K246" i="26"/>
  <c r="J246" i="26"/>
  <c r="I246" i="26"/>
  <c r="H246" i="26"/>
  <c r="G246" i="26"/>
  <c r="F246" i="26"/>
  <c r="E246" i="26"/>
  <c r="D246" i="26"/>
  <c r="K243" i="26"/>
  <c r="J243" i="26"/>
  <c r="I243" i="26"/>
  <c r="H243" i="26"/>
  <c r="G243" i="26"/>
  <c r="F243" i="26"/>
  <c r="E243" i="26"/>
  <c r="D243" i="26"/>
  <c r="K233" i="26"/>
  <c r="J233" i="26"/>
  <c r="I233" i="26"/>
  <c r="H233" i="26"/>
  <c r="G233" i="26"/>
  <c r="F233" i="26"/>
  <c r="E233" i="26"/>
  <c r="D233" i="26"/>
  <c r="K224" i="26"/>
  <c r="J224" i="26"/>
  <c r="J250" i="26"/>
  <c r="I224" i="26"/>
  <c r="I250" i="26"/>
  <c r="H224" i="26"/>
  <c r="H250" i="26"/>
  <c r="G224" i="26"/>
  <c r="G250" i="26"/>
  <c r="F224" i="26"/>
  <c r="F250" i="26"/>
  <c r="E224" i="26"/>
  <c r="E250" i="26"/>
  <c r="D224" i="26"/>
  <c r="D250" i="26"/>
  <c r="K214" i="26"/>
  <c r="J214" i="26"/>
  <c r="I214" i="26"/>
  <c r="H214" i="26"/>
  <c r="G214" i="26"/>
  <c r="F214" i="26"/>
  <c r="E214" i="26"/>
  <c r="D214" i="26"/>
  <c r="K211" i="26"/>
  <c r="J211" i="26"/>
  <c r="I211" i="26"/>
  <c r="H211" i="26"/>
  <c r="G211" i="26"/>
  <c r="F211" i="26"/>
  <c r="E211" i="26"/>
  <c r="D211" i="26"/>
  <c r="K201" i="26"/>
  <c r="J201" i="26"/>
  <c r="I201" i="26"/>
  <c r="H201" i="26"/>
  <c r="G201" i="26"/>
  <c r="F201" i="26"/>
  <c r="E201" i="26"/>
  <c r="D201" i="26"/>
  <c r="K192" i="26"/>
  <c r="J192" i="26"/>
  <c r="J218" i="26"/>
  <c r="I192" i="26"/>
  <c r="I218" i="26"/>
  <c r="H192" i="26"/>
  <c r="H218" i="26"/>
  <c r="G192" i="26"/>
  <c r="G218" i="26"/>
  <c r="F192" i="26"/>
  <c r="F218" i="26"/>
  <c r="E192" i="26"/>
  <c r="E218" i="26"/>
  <c r="D192" i="26"/>
  <c r="D218" i="26"/>
  <c r="K182" i="26"/>
  <c r="J182" i="26"/>
  <c r="I182" i="26"/>
  <c r="H182" i="26"/>
  <c r="G182" i="26"/>
  <c r="F182" i="26"/>
  <c r="E182" i="26"/>
  <c r="D182" i="26"/>
  <c r="K179" i="26"/>
  <c r="J179" i="26"/>
  <c r="I179" i="26"/>
  <c r="H179" i="26"/>
  <c r="G179" i="26"/>
  <c r="F179" i="26"/>
  <c r="E179" i="26"/>
  <c r="D179" i="26"/>
  <c r="K169" i="26"/>
  <c r="J169" i="26"/>
  <c r="I169" i="26"/>
  <c r="H169" i="26"/>
  <c r="G169" i="26"/>
  <c r="F169" i="26"/>
  <c r="E169" i="26"/>
  <c r="D169" i="26"/>
  <c r="K160" i="26"/>
  <c r="J160" i="26"/>
  <c r="J186" i="26"/>
  <c r="I160" i="26"/>
  <c r="I186" i="26"/>
  <c r="H160" i="26"/>
  <c r="H186" i="26"/>
  <c r="G160" i="26"/>
  <c r="G186" i="26"/>
  <c r="F160" i="26"/>
  <c r="F186" i="26"/>
  <c r="E160" i="26"/>
  <c r="E186" i="26"/>
  <c r="D160" i="26"/>
  <c r="D186" i="26"/>
  <c r="K159" i="26"/>
  <c r="K191" i="26"/>
  <c r="K223" i="26"/>
  <c r="J159" i="26"/>
  <c r="J191" i="26"/>
  <c r="J223" i="26"/>
  <c r="I159" i="26"/>
  <c r="I191" i="26"/>
  <c r="I223" i="26"/>
  <c r="H159" i="26"/>
  <c r="H191" i="26"/>
  <c r="H223" i="26"/>
  <c r="G159" i="26"/>
  <c r="G191" i="26"/>
  <c r="G223" i="26"/>
  <c r="F159" i="26"/>
  <c r="F191" i="26"/>
  <c r="F223" i="26"/>
  <c r="E159" i="26"/>
  <c r="E191" i="26"/>
  <c r="E223" i="26"/>
  <c r="D159" i="26"/>
  <c r="D191" i="26"/>
  <c r="D223" i="26"/>
  <c r="K150" i="26"/>
  <c r="J150" i="26"/>
  <c r="I150" i="26"/>
  <c r="H150" i="26"/>
  <c r="G150" i="26"/>
  <c r="F150" i="26"/>
  <c r="E150" i="26"/>
  <c r="D150" i="26"/>
  <c r="K137" i="26"/>
  <c r="J137" i="26"/>
  <c r="I137" i="26"/>
  <c r="H137" i="26"/>
  <c r="G137" i="26"/>
  <c r="F137" i="26"/>
  <c r="E137" i="26"/>
  <c r="D137" i="26"/>
  <c r="K128" i="26"/>
  <c r="J128" i="26"/>
  <c r="J154" i="26"/>
  <c r="I128" i="26"/>
  <c r="H128" i="26"/>
  <c r="H154" i="26"/>
  <c r="G128" i="26"/>
  <c r="G154" i="26"/>
  <c r="F128" i="26"/>
  <c r="F154" i="26"/>
  <c r="E128" i="26"/>
  <c r="E154" i="26"/>
  <c r="D128" i="26"/>
  <c r="D154" i="26"/>
  <c r="C159" i="26"/>
  <c r="C191" i="26"/>
  <c r="C223" i="26"/>
  <c r="C246" i="26"/>
  <c r="C243" i="26"/>
  <c r="C233" i="26"/>
  <c r="C224" i="26"/>
  <c r="C214" i="26"/>
  <c r="C211" i="26"/>
  <c r="C201" i="26"/>
  <c r="C192" i="26"/>
  <c r="C182" i="26"/>
  <c r="C179" i="26"/>
  <c r="C169" i="26"/>
  <c r="C160" i="26"/>
  <c r="C150" i="26"/>
  <c r="C137" i="26"/>
  <c r="C128" i="26"/>
  <c r="E46" i="34"/>
  <c r="E39" i="34"/>
  <c r="D46" i="34"/>
  <c r="C46" i="34"/>
  <c r="D40" i="34"/>
  <c r="D39" i="34"/>
  <c r="D52" i="34"/>
  <c r="C40" i="34"/>
  <c r="K33" i="34"/>
  <c r="J33" i="34"/>
  <c r="I33" i="34"/>
  <c r="H33" i="34"/>
  <c r="G33" i="34"/>
  <c r="F33" i="34"/>
  <c r="E33" i="34"/>
  <c r="K27" i="34"/>
  <c r="K26" i="34"/>
  <c r="K52" i="34"/>
  <c r="J27" i="34"/>
  <c r="I27" i="34"/>
  <c r="H27" i="34"/>
  <c r="G27" i="34"/>
  <c r="F27" i="34"/>
  <c r="E27" i="34"/>
  <c r="H25" i="34"/>
  <c r="G25" i="34"/>
  <c r="F25" i="34"/>
  <c r="E25" i="34"/>
  <c r="D25" i="34"/>
  <c r="C25" i="34"/>
  <c r="K15" i="34"/>
  <c r="J15" i="34"/>
  <c r="I15" i="34"/>
  <c r="H15" i="34"/>
  <c r="G15" i="34"/>
  <c r="F15" i="34"/>
  <c r="E15" i="34"/>
  <c r="K9" i="34"/>
  <c r="J9" i="34"/>
  <c r="I9" i="34"/>
  <c r="H9" i="34"/>
  <c r="G9" i="34"/>
  <c r="F9" i="34"/>
  <c r="E9" i="34"/>
  <c r="K154" i="26"/>
  <c r="K186" i="26"/>
  <c r="K218" i="26"/>
  <c r="K250" i="26"/>
  <c r="C39" i="34"/>
  <c r="C52" i="34"/>
  <c r="I154" i="26"/>
  <c r="G8" i="34"/>
  <c r="E26" i="34"/>
  <c r="E52" i="34"/>
  <c r="I26" i="34"/>
  <c r="I52" i="34"/>
  <c r="F26" i="34"/>
  <c r="F52" i="34"/>
  <c r="G26" i="34"/>
  <c r="G52" i="34"/>
  <c r="H8" i="34"/>
  <c r="E8" i="34"/>
  <c r="I8" i="34"/>
  <c r="F8" i="34"/>
  <c r="J8" i="34"/>
  <c r="K8" i="34"/>
  <c r="C154" i="26"/>
  <c r="C186" i="26"/>
  <c r="C218" i="26"/>
  <c r="C250" i="26"/>
  <c r="H26" i="34"/>
  <c r="H52" i="34"/>
  <c r="J26" i="34"/>
  <c r="J52" i="34"/>
  <c r="D6" i="24"/>
  <c r="E6" i="24"/>
  <c r="F6" i="24"/>
  <c r="G6" i="24"/>
  <c r="H6" i="24"/>
  <c r="I6" i="24"/>
  <c r="J6" i="24"/>
  <c r="D7" i="24"/>
  <c r="E7" i="24"/>
  <c r="F7" i="24"/>
  <c r="G7" i="24"/>
  <c r="H7" i="24"/>
  <c r="I7" i="24"/>
  <c r="J7" i="24"/>
  <c r="D8" i="24"/>
  <c r="E8" i="24"/>
  <c r="F8" i="24"/>
  <c r="G8" i="24"/>
  <c r="H8" i="24"/>
  <c r="I8" i="24"/>
  <c r="J8" i="24"/>
  <c r="K8" i="24"/>
  <c r="C6" i="24"/>
  <c r="C7" i="24"/>
  <c r="C8" i="24"/>
  <c r="D16" i="28"/>
  <c r="E16" i="28"/>
  <c r="F16" i="28"/>
  <c r="G16" i="28"/>
  <c r="H16" i="28"/>
  <c r="I16" i="28"/>
  <c r="J16" i="28"/>
  <c r="K16" i="28"/>
  <c r="D17" i="28"/>
  <c r="E17" i="28"/>
  <c r="F17" i="28"/>
  <c r="G17" i="28"/>
  <c r="H17" i="28"/>
  <c r="I17" i="28"/>
  <c r="J17" i="28"/>
  <c r="K17" i="28"/>
  <c r="D18" i="28"/>
  <c r="E18" i="28"/>
  <c r="F18" i="28"/>
  <c r="G18" i="28"/>
  <c r="H18" i="28"/>
  <c r="I18" i="28"/>
  <c r="J18" i="28"/>
  <c r="K18" i="28"/>
  <c r="K54" i="28"/>
  <c r="J54" i="28"/>
  <c r="J11" i="28"/>
  <c r="I54" i="28"/>
  <c r="I11" i="28"/>
  <c r="H54" i="28"/>
  <c r="H11" i="28"/>
  <c r="G54" i="28"/>
  <c r="G11" i="28"/>
  <c r="F54" i="28"/>
  <c r="F11" i="28"/>
  <c r="E54" i="28"/>
  <c r="E11" i="28"/>
  <c r="C18" i="28"/>
  <c r="C17" i="28"/>
  <c r="C16" i="28"/>
  <c r="J94" i="33"/>
  <c r="J81" i="33"/>
  <c r="K94" i="33"/>
  <c r="K81" i="33"/>
  <c r="K118" i="33"/>
  <c r="K114" i="33"/>
  <c r="K101" i="33"/>
  <c r="K82" i="33"/>
  <c r="K87" i="33"/>
  <c r="K83" i="33"/>
  <c r="K86" i="33"/>
  <c r="K73" i="33"/>
  <c r="K12" i="33"/>
  <c r="K21" i="24"/>
  <c r="K121" i="33"/>
  <c r="K80" i="33"/>
  <c r="J10" i="25"/>
  <c r="J20" i="24"/>
  <c r="K10" i="25"/>
  <c r="K20" i="24"/>
  <c r="J19" i="24"/>
  <c r="J16" i="24"/>
  <c r="K97" i="26"/>
  <c r="K67" i="26"/>
  <c r="K37" i="26"/>
  <c r="K119" i="26"/>
  <c r="K116" i="26"/>
  <c r="K107" i="26"/>
  <c r="K98" i="26"/>
  <c r="K89" i="26"/>
  <c r="K86" i="26"/>
  <c r="K77" i="26"/>
  <c r="K68" i="26"/>
  <c r="K59" i="26"/>
  <c r="K56" i="26"/>
  <c r="K47" i="26"/>
  <c r="K38" i="26"/>
  <c r="K29" i="26"/>
  <c r="K26" i="26"/>
  <c r="K17" i="26"/>
  <c r="K8" i="26"/>
  <c r="K32" i="30"/>
  <c r="K28" i="30"/>
  <c r="K21" i="30"/>
  <c r="K19" i="30"/>
  <c r="K85" i="29"/>
  <c r="K55" i="29"/>
  <c r="K42" i="29"/>
  <c r="K29" i="29"/>
  <c r="K88" i="29"/>
  <c r="K72" i="29"/>
  <c r="K64" i="29"/>
  <c r="K63" i="29"/>
  <c r="K50" i="29"/>
  <c r="K37" i="29"/>
  <c r="K24" i="29"/>
  <c r="K20" i="30"/>
  <c r="K62" i="26"/>
  <c r="K10" i="24"/>
  <c r="K23" i="24"/>
  <c r="K122" i="26"/>
  <c r="K12" i="24"/>
  <c r="K92" i="26"/>
  <c r="K11" i="24"/>
  <c r="K32" i="26"/>
  <c r="K9" i="24"/>
  <c r="K24" i="24"/>
  <c r="K25" i="24"/>
  <c r="K26" i="24"/>
  <c r="K34" i="32"/>
  <c r="K28" i="32"/>
  <c r="K27" i="32"/>
  <c r="K15" i="32"/>
  <c r="K8" i="32"/>
  <c r="K22" i="32"/>
  <c r="J37" i="29"/>
  <c r="I37" i="29"/>
  <c r="H37" i="29"/>
  <c r="G37" i="29"/>
  <c r="F37" i="29"/>
  <c r="E37" i="29"/>
  <c r="D37" i="29"/>
  <c r="C37" i="29"/>
  <c r="J29" i="29"/>
  <c r="I29" i="29"/>
  <c r="H29" i="29"/>
  <c r="G29" i="29"/>
  <c r="F29" i="29"/>
  <c r="E29" i="29"/>
  <c r="D29" i="29"/>
  <c r="C29" i="29"/>
  <c r="J24" i="29"/>
  <c r="I24" i="29"/>
  <c r="H24" i="29"/>
  <c r="G24" i="29"/>
  <c r="F24" i="29"/>
  <c r="E24" i="29"/>
  <c r="D24" i="29"/>
  <c r="C24" i="29"/>
  <c r="J86" i="33"/>
  <c r="I86" i="33"/>
  <c r="H86" i="33"/>
  <c r="G86" i="33"/>
  <c r="F86" i="33"/>
  <c r="E86" i="33"/>
  <c r="D86" i="33"/>
  <c r="C86" i="33"/>
  <c r="J73" i="33"/>
  <c r="I73" i="33"/>
  <c r="H73" i="33"/>
  <c r="G73" i="33"/>
  <c r="F73" i="33"/>
  <c r="E73" i="33"/>
  <c r="D73" i="33"/>
  <c r="C73" i="33"/>
  <c r="I115" i="33"/>
  <c r="I114" i="33"/>
  <c r="C114" i="33"/>
  <c r="D114" i="33"/>
  <c r="E114" i="33"/>
  <c r="F114" i="33"/>
  <c r="G114" i="33"/>
  <c r="H114" i="33"/>
  <c r="J114" i="33"/>
  <c r="C118" i="33"/>
  <c r="D118" i="33"/>
  <c r="E118" i="33"/>
  <c r="F118" i="33"/>
  <c r="G118" i="33"/>
  <c r="H118" i="33"/>
  <c r="I118" i="33"/>
  <c r="I121" i="33"/>
  <c r="I80" i="33"/>
  <c r="J118" i="33"/>
  <c r="C101" i="33"/>
  <c r="C82" i="33"/>
  <c r="D101" i="33"/>
  <c r="D82" i="33"/>
  <c r="E101" i="33"/>
  <c r="E82" i="33"/>
  <c r="F101" i="33"/>
  <c r="F82" i="33"/>
  <c r="G101" i="33"/>
  <c r="G82" i="33"/>
  <c r="H101" i="33"/>
  <c r="H82" i="33"/>
  <c r="I101" i="33"/>
  <c r="I82" i="33"/>
  <c r="J101" i="33"/>
  <c r="J82" i="33"/>
  <c r="C94" i="33"/>
  <c r="C81" i="33"/>
  <c r="D94" i="33"/>
  <c r="D81" i="33"/>
  <c r="E94" i="33"/>
  <c r="E81" i="33"/>
  <c r="F94" i="33"/>
  <c r="F81" i="33"/>
  <c r="G94" i="33"/>
  <c r="G81" i="33"/>
  <c r="H94" i="33"/>
  <c r="H81" i="33"/>
  <c r="I94" i="33"/>
  <c r="I81" i="33"/>
  <c r="J87" i="33"/>
  <c r="J83" i="33"/>
  <c r="I87" i="33"/>
  <c r="I83" i="33"/>
  <c r="H87" i="33"/>
  <c r="H83" i="33"/>
  <c r="G87" i="33"/>
  <c r="G83" i="33"/>
  <c r="D87" i="33"/>
  <c r="D83" i="33"/>
  <c r="F88" i="33"/>
  <c r="F87" i="33"/>
  <c r="F83" i="33"/>
  <c r="E88" i="33"/>
  <c r="E87" i="33"/>
  <c r="E83" i="33"/>
  <c r="C18" i="23"/>
  <c r="C11" i="23"/>
  <c r="C13" i="23"/>
  <c r="C14" i="23"/>
  <c r="J121" i="33"/>
  <c r="J80" i="33"/>
  <c r="E121" i="33"/>
  <c r="E80" i="33"/>
  <c r="F121" i="33"/>
  <c r="F80" i="33"/>
  <c r="H121" i="33"/>
  <c r="H80" i="33"/>
  <c r="D121" i="33"/>
  <c r="D80" i="33"/>
  <c r="G121" i="33"/>
  <c r="G80" i="33"/>
  <c r="C121" i="33"/>
  <c r="C80" i="33"/>
  <c r="J32" i="30"/>
  <c r="I32" i="30"/>
  <c r="H32" i="30"/>
  <c r="G32" i="30"/>
  <c r="F32" i="30"/>
  <c r="E32" i="30"/>
  <c r="D32" i="30"/>
  <c r="C32" i="30"/>
  <c r="I31" i="30"/>
  <c r="I30" i="30"/>
  <c r="I29" i="30"/>
  <c r="J28" i="30"/>
  <c r="H28" i="30"/>
  <c r="G28" i="30"/>
  <c r="F28" i="30"/>
  <c r="E28" i="30"/>
  <c r="D28" i="30"/>
  <c r="C28" i="30"/>
  <c r="J21" i="30"/>
  <c r="J20" i="30"/>
  <c r="I21" i="30"/>
  <c r="H21" i="30"/>
  <c r="H20" i="30"/>
  <c r="G21" i="30"/>
  <c r="G20" i="30"/>
  <c r="F21" i="30"/>
  <c r="F20" i="30"/>
  <c r="E21" i="30"/>
  <c r="E20" i="30"/>
  <c r="D21" i="30"/>
  <c r="D20" i="30"/>
  <c r="C21" i="30"/>
  <c r="C20" i="30"/>
  <c r="J19" i="30"/>
  <c r="I19" i="30"/>
  <c r="H19" i="30"/>
  <c r="G19" i="30"/>
  <c r="F19" i="30"/>
  <c r="E19" i="30"/>
  <c r="D19" i="30"/>
  <c r="C19" i="30"/>
  <c r="H11" i="30"/>
  <c r="H12" i="30"/>
  <c r="G11" i="30"/>
  <c r="G12" i="30"/>
  <c r="F11" i="30"/>
  <c r="F12" i="30"/>
  <c r="E11" i="30"/>
  <c r="E12" i="30"/>
  <c r="D11" i="30"/>
  <c r="D12" i="30"/>
  <c r="C11" i="30"/>
  <c r="C12" i="30"/>
  <c r="I8" i="30"/>
  <c r="I11" i="30"/>
  <c r="I12" i="30"/>
  <c r="I28" i="30"/>
  <c r="I20" i="30"/>
  <c r="J8" i="30"/>
  <c r="J11" i="30"/>
  <c r="D12" i="33"/>
  <c r="D21" i="24"/>
  <c r="E12" i="33"/>
  <c r="E21" i="24"/>
  <c r="F12" i="33"/>
  <c r="F21" i="24"/>
  <c r="G12" i="33"/>
  <c r="G21" i="24"/>
  <c r="H12" i="33"/>
  <c r="H21" i="24"/>
  <c r="I12" i="33"/>
  <c r="I21" i="24"/>
  <c r="J12" i="33"/>
  <c r="J21" i="24"/>
  <c r="C12" i="33"/>
  <c r="C21" i="24"/>
  <c r="J12" i="30"/>
  <c r="K8" i="30"/>
  <c r="K11" i="30"/>
  <c r="K12" i="30"/>
  <c r="G9" i="33"/>
  <c r="G17" i="24"/>
  <c r="G18" i="24"/>
  <c r="D9" i="33"/>
  <c r="D17" i="24"/>
  <c r="D18" i="24"/>
  <c r="H9" i="33"/>
  <c r="H17" i="24"/>
  <c r="H18" i="24"/>
  <c r="F18" i="24"/>
  <c r="F9" i="33"/>
  <c r="F17" i="24"/>
  <c r="E18" i="24"/>
  <c r="E9" i="33"/>
  <c r="E17" i="24"/>
  <c r="I18" i="24"/>
  <c r="I9" i="33"/>
  <c r="I17" i="24"/>
  <c r="C18" i="24"/>
  <c r="C9" i="33"/>
  <c r="C17" i="24"/>
  <c r="D16" i="24"/>
  <c r="E16" i="24"/>
  <c r="F16" i="24"/>
  <c r="G16" i="24"/>
  <c r="H16" i="24"/>
  <c r="I16" i="24"/>
  <c r="D19" i="24"/>
  <c r="E19" i="24"/>
  <c r="F19" i="24"/>
  <c r="G19" i="24"/>
  <c r="H19" i="24"/>
  <c r="I19" i="24"/>
  <c r="C10" i="25"/>
  <c r="D10" i="25"/>
  <c r="D20" i="24"/>
  <c r="E10" i="25"/>
  <c r="E20" i="24"/>
  <c r="F10" i="25"/>
  <c r="F20" i="24"/>
  <c r="G10" i="25"/>
  <c r="G20" i="24"/>
  <c r="H10" i="25"/>
  <c r="H20" i="24"/>
  <c r="I10" i="25"/>
  <c r="I20" i="24"/>
  <c r="C20" i="24"/>
  <c r="C19" i="24"/>
  <c r="C16" i="24"/>
  <c r="C8" i="32"/>
  <c r="D8" i="32"/>
  <c r="E8" i="32"/>
  <c r="F8" i="32"/>
  <c r="G8" i="32"/>
  <c r="H8" i="32"/>
  <c r="I8" i="32"/>
  <c r="J8" i="32"/>
  <c r="C15" i="32"/>
  <c r="D15" i="32"/>
  <c r="E15" i="32"/>
  <c r="F15" i="32"/>
  <c r="G15" i="32"/>
  <c r="H15" i="32"/>
  <c r="I15" i="32"/>
  <c r="J15" i="32"/>
  <c r="C22" i="32"/>
  <c r="D22" i="32"/>
  <c r="F22" i="32"/>
  <c r="G22" i="32"/>
  <c r="H22" i="32"/>
  <c r="I22" i="32"/>
  <c r="J22" i="32"/>
  <c r="C27" i="32"/>
  <c r="D27" i="32"/>
  <c r="E27" i="32"/>
  <c r="F27" i="32"/>
  <c r="G27" i="32"/>
  <c r="H27" i="32"/>
  <c r="I27" i="32"/>
  <c r="J27" i="32"/>
  <c r="C28" i="32"/>
  <c r="D28" i="32"/>
  <c r="E28" i="32"/>
  <c r="F28" i="32"/>
  <c r="G28" i="32"/>
  <c r="H28" i="32"/>
  <c r="I28" i="32"/>
  <c r="J28" i="32"/>
  <c r="C34" i="32"/>
  <c r="D34" i="32"/>
  <c r="E34" i="32"/>
  <c r="F34" i="32"/>
  <c r="G34" i="32"/>
  <c r="H34" i="32"/>
  <c r="I34" i="32"/>
  <c r="J34" i="32"/>
  <c r="C44" i="29"/>
  <c r="C50" i="29"/>
  <c r="D44" i="29"/>
  <c r="D50" i="29"/>
  <c r="E44" i="29"/>
  <c r="E50" i="29"/>
  <c r="F44" i="29"/>
  <c r="F50" i="29"/>
  <c r="G44" i="29"/>
  <c r="H44" i="29"/>
  <c r="H50" i="29"/>
  <c r="I44" i="29"/>
  <c r="J44" i="29"/>
  <c r="G50" i="29"/>
  <c r="I50" i="29"/>
  <c r="C55" i="29"/>
  <c r="D55" i="29"/>
  <c r="E55" i="29"/>
  <c r="F55" i="29"/>
  <c r="G55" i="29"/>
  <c r="H55" i="29"/>
  <c r="I55" i="29"/>
  <c r="J55" i="29"/>
  <c r="C63" i="29"/>
  <c r="D63" i="29"/>
  <c r="E63" i="29"/>
  <c r="F63" i="29"/>
  <c r="G63" i="29"/>
  <c r="H63" i="29"/>
  <c r="I63" i="29"/>
  <c r="J63" i="29"/>
  <c r="C64" i="29"/>
  <c r="D64" i="29"/>
  <c r="E64" i="29"/>
  <c r="F64" i="29"/>
  <c r="G64" i="29"/>
  <c r="H64" i="29"/>
  <c r="I64" i="29"/>
  <c r="J64" i="29"/>
  <c r="C72" i="29"/>
  <c r="D72" i="29"/>
  <c r="E72" i="29"/>
  <c r="F72" i="29"/>
  <c r="G72" i="29"/>
  <c r="H72" i="29"/>
  <c r="I72" i="29"/>
  <c r="J72" i="29"/>
  <c r="C85" i="29"/>
  <c r="D85" i="29"/>
  <c r="E85" i="29"/>
  <c r="F85" i="29"/>
  <c r="G85" i="29"/>
  <c r="H85" i="29"/>
  <c r="I85" i="29"/>
  <c r="J85" i="29"/>
  <c r="C88" i="29"/>
  <c r="D88" i="29"/>
  <c r="E88" i="29"/>
  <c r="F88" i="29"/>
  <c r="G88" i="29"/>
  <c r="H88" i="29"/>
  <c r="I88" i="29"/>
  <c r="J88" i="29"/>
  <c r="C8" i="26"/>
  <c r="D8" i="26"/>
  <c r="E8" i="26"/>
  <c r="F8" i="26"/>
  <c r="G8" i="26"/>
  <c r="H8" i="26"/>
  <c r="I8" i="26"/>
  <c r="J8" i="26"/>
  <c r="C17" i="26"/>
  <c r="D17" i="26"/>
  <c r="E17" i="26"/>
  <c r="F17" i="26"/>
  <c r="G17" i="26"/>
  <c r="H17" i="26"/>
  <c r="I17" i="26"/>
  <c r="J17" i="26"/>
  <c r="C26" i="26"/>
  <c r="D26" i="26"/>
  <c r="E26" i="26"/>
  <c r="F26" i="26"/>
  <c r="G26" i="26"/>
  <c r="H26" i="26"/>
  <c r="I26" i="26"/>
  <c r="J26" i="26"/>
  <c r="C29" i="26"/>
  <c r="D29" i="26"/>
  <c r="E29" i="26"/>
  <c r="F29" i="26"/>
  <c r="G29" i="26"/>
  <c r="H29" i="26"/>
  <c r="I29" i="26"/>
  <c r="J29" i="26"/>
  <c r="J32" i="26"/>
  <c r="J9" i="24"/>
  <c r="C32" i="26"/>
  <c r="C9" i="24"/>
  <c r="D32" i="26"/>
  <c r="D9" i="24"/>
  <c r="E32" i="26"/>
  <c r="E9" i="24"/>
  <c r="F32" i="26"/>
  <c r="F9" i="24"/>
  <c r="G32" i="26"/>
  <c r="G9" i="24"/>
  <c r="H32" i="26"/>
  <c r="H9" i="24"/>
  <c r="I32" i="26"/>
  <c r="I9" i="24"/>
  <c r="C37" i="26"/>
  <c r="D37" i="26"/>
  <c r="E37" i="26"/>
  <c r="F37" i="26"/>
  <c r="G37" i="26"/>
  <c r="H37" i="26"/>
  <c r="I37" i="26"/>
  <c r="J37" i="26"/>
  <c r="C38" i="26"/>
  <c r="D38" i="26"/>
  <c r="E38" i="26"/>
  <c r="F38" i="26"/>
  <c r="G38" i="26"/>
  <c r="H38" i="26"/>
  <c r="I38" i="26"/>
  <c r="J38" i="26"/>
  <c r="C47" i="26"/>
  <c r="D47" i="26"/>
  <c r="E47" i="26"/>
  <c r="F47" i="26"/>
  <c r="G47" i="26"/>
  <c r="H47" i="26"/>
  <c r="I47" i="26"/>
  <c r="J47" i="26"/>
  <c r="C56" i="26"/>
  <c r="D56" i="26"/>
  <c r="E56" i="26"/>
  <c r="F56" i="26"/>
  <c r="G56" i="26"/>
  <c r="H56" i="26"/>
  <c r="I56" i="26"/>
  <c r="J56" i="26"/>
  <c r="C59" i="26"/>
  <c r="D59" i="26"/>
  <c r="E59" i="26"/>
  <c r="F59" i="26"/>
  <c r="G59" i="26"/>
  <c r="H59" i="26"/>
  <c r="I59" i="26"/>
  <c r="I62" i="26"/>
  <c r="I10" i="24"/>
  <c r="I23" i="24"/>
  <c r="J59" i="26"/>
  <c r="C62" i="26"/>
  <c r="C10" i="24"/>
  <c r="D62" i="26"/>
  <c r="D10" i="24"/>
  <c r="D23" i="24"/>
  <c r="E62" i="26"/>
  <c r="E10" i="24"/>
  <c r="E23" i="24"/>
  <c r="F62" i="26"/>
  <c r="F10" i="24"/>
  <c r="F23" i="24"/>
  <c r="G62" i="26"/>
  <c r="G10" i="24"/>
  <c r="G23" i="24"/>
  <c r="H62" i="26"/>
  <c r="H10" i="24"/>
  <c r="H23" i="24"/>
  <c r="J62" i="26"/>
  <c r="J10" i="24"/>
  <c r="J23" i="24"/>
  <c r="C67" i="26"/>
  <c r="D67" i="26"/>
  <c r="E67" i="26"/>
  <c r="F67" i="26"/>
  <c r="G67" i="26"/>
  <c r="H67" i="26"/>
  <c r="I67" i="26"/>
  <c r="J67" i="26"/>
  <c r="C68" i="26"/>
  <c r="D68" i="26"/>
  <c r="E68" i="26"/>
  <c r="F68" i="26"/>
  <c r="G68" i="26"/>
  <c r="H68" i="26"/>
  <c r="I68" i="26"/>
  <c r="J68" i="26"/>
  <c r="C77" i="26"/>
  <c r="D77" i="26"/>
  <c r="E77" i="26"/>
  <c r="F77" i="26"/>
  <c r="G77" i="26"/>
  <c r="H77" i="26"/>
  <c r="I77" i="26"/>
  <c r="J77" i="26"/>
  <c r="C86" i="26"/>
  <c r="D86" i="26"/>
  <c r="E86" i="26"/>
  <c r="F86" i="26"/>
  <c r="G86" i="26"/>
  <c r="H86" i="26"/>
  <c r="I86" i="26"/>
  <c r="J86" i="26"/>
  <c r="C89" i="26"/>
  <c r="D89" i="26"/>
  <c r="E89" i="26"/>
  <c r="E92" i="26"/>
  <c r="E11" i="24"/>
  <c r="F89" i="26"/>
  <c r="G89" i="26"/>
  <c r="H89" i="26"/>
  <c r="I89" i="26"/>
  <c r="I92" i="26"/>
  <c r="I11" i="24"/>
  <c r="J89" i="26"/>
  <c r="C92" i="26"/>
  <c r="C11" i="24"/>
  <c r="D92" i="26"/>
  <c r="D11" i="24"/>
  <c r="C97" i="26"/>
  <c r="D97" i="26"/>
  <c r="E97" i="26"/>
  <c r="F97" i="26"/>
  <c r="G97" i="26"/>
  <c r="H97" i="26"/>
  <c r="I97" i="26"/>
  <c r="J97" i="26"/>
  <c r="C98" i="26"/>
  <c r="D98" i="26"/>
  <c r="E98" i="26"/>
  <c r="F98" i="26"/>
  <c r="G98" i="26"/>
  <c r="H98" i="26"/>
  <c r="I98" i="26"/>
  <c r="J98" i="26"/>
  <c r="C107" i="26"/>
  <c r="D107" i="26"/>
  <c r="E107" i="26"/>
  <c r="F107" i="26"/>
  <c r="G107" i="26"/>
  <c r="H107" i="26"/>
  <c r="I107" i="26"/>
  <c r="J107" i="26"/>
  <c r="C116" i="26"/>
  <c r="D116" i="26"/>
  <c r="E116" i="26"/>
  <c r="F116" i="26"/>
  <c r="G116" i="26"/>
  <c r="H116" i="26"/>
  <c r="I116" i="26"/>
  <c r="J116" i="26"/>
  <c r="C119" i="26"/>
  <c r="D119" i="26"/>
  <c r="E119" i="26"/>
  <c r="F119" i="26"/>
  <c r="G119" i="26"/>
  <c r="H119" i="26"/>
  <c r="I119" i="26"/>
  <c r="J119" i="26"/>
  <c r="E122" i="26"/>
  <c r="E12" i="24"/>
  <c r="C9" i="23"/>
  <c r="C10" i="23"/>
  <c r="C17" i="23"/>
  <c r="C16" i="23"/>
  <c r="E25" i="24"/>
  <c r="D25" i="24"/>
  <c r="E22" i="32"/>
  <c r="I25" i="24"/>
  <c r="E24" i="24"/>
  <c r="G92" i="26"/>
  <c r="G11" i="24"/>
  <c r="G25" i="24"/>
  <c r="H122" i="26"/>
  <c r="H12" i="24"/>
  <c r="G122" i="26"/>
  <c r="G12" i="24"/>
  <c r="J122" i="26"/>
  <c r="J12" i="24"/>
  <c r="C25" i="24"/>
  <c r="C23" i="24"/>
  <c r="C26" i="24"/>
  <c r="I26" i="24"/>
  <c r="E26" i="24"/>
  <c r="I122" i="26"/>
  <c r="I12" i="24"/>
  <c r="I24" i="24"/>
  <c r="D26" i="24"/>
  <c r="K7" i="24"/>
  <c r="K19" i="24"/>
  <c r="K18" i="24"/>
  <c r="K9" i="33"/>
  <c r="K17" i="24"/>
  <c r="F122" i="26"/>
  <c r="F12" i="24"/>
  <c r="J92" i="26"/>
  <c r="J11" i="24"/>
  <c r="J25" i="24"/>
  <c r="F92" i="26"/>
  <c r="F11" i="24"/>
  <c r="F25" i="24"/>
  <c r="H92" i="26"/>
  <c r="H11" i="24"/>
  <c r="H25" i="24"/>
  <c r="J18" i="24"/>
  <c r="J9" i="33"/>
  <c r="J17" i="24"/>
  <c r="G24" i="24"/>
  <c r="G26" i="24"/>
  <c r="F24" i="24"/>
  <c r="F26" i="24"/>
  <c r="J26" i="24"/>
  <c r="H26" i="24"/>
  <c r="H24" i="24"/>
  <c r="J24" i="24"/>
  <c r="K11" i="28"/>
  <c r="K16" i="24"/>
  <c r="K6" i="24"/>
  <c r="J50" i="29"/>
  <c r="D13" i="33"/>
  <c r="D22" i="24"/>
  <c r="J13" i="33"/>
  <c r="J22" i="24"/>
  <c r="I13" i="33"/>
  <c r="I22" i="24"/>
  <c r="K13" i="33"/>
  <c r="K22" i="24"/>
  <c r="C13" i="33"/>
  <c r="C22" i="24"/>
  <c r="E13" i="33"/>
  <c r="E22" i="24"/>
  <c r="H13" i="33"/>
  <c r="H22" i="24"/>
  <c r="G13" i="33"/>
  <c r="G22" i="24"/>
  <c r="F13" i="33"/>
  <c r="F22" i="24"/>
  <c r="D122" i="26"/>
  <c r="D12" i="24"/>
  <c r="D24" i="24"/>
  <c r="C122" i="26"/>
  <c r="C12" i="24"/>
  <c r="C24" i="24"/>
</calcChain>
</file>

<file path=xl/sharedStrings.xml><?xml version="1.0" encoding="utf-8"?>
<sst xmlns="http://schemas.openxmlformats.org/spreadsheetml/2006/main" count="1081" uniqueCount="403">
  <si>
    <t>Índex de contingut de les estadístiques en matèria de</t>
  </si>
  <si>
    <t>Secretaria de Relacions amb l'Administració de Justícia</t>
  </si>
  <si>
    <t>Pàg.</t>
  </si>
  <si>
    <t>Conjunt de dades</t>
  </si>
  <si>
    <t>Àmbit
territorial</t>
  </si>
  <si>
    <t>Període 
disponible</t>
  </si>
  <si>
    <t>Catalunya</t>
  </si>
  <si>
    <t>2010 - 2019</t>
  </si>
  <si>
    <t>Demarcació</t>
  </si>
  <si>
    <t>2011 - 2019</t>
  </si>
  <si>
    <t>2012 - 2019</t>
  </si>
  <si>
    <t>2013 - 2019</t>
  </si>
  <si>
    <t>2014 - 2019</t>
  </si>
  <si>
    <t>2015 - 2019</t>
  </si>
  <si>
    <t>2016 - 2019</t>
  </si>
  <si>
    <t>2017 - 2019</t>
  </si>
  <si>
    <t>2018 - 2019</t>
  </si>
  <si>
    <t>2019 - 2019</t>
  </si>
  <si>
    <t>URL:</t>
  </si>
  <si>
    <t>http://justicia.gencat.cat/ca/departament/Estadistiques</t>
  </si>
  <si>
    <t>Indicadors principals de l'Administració de justícia a Catalunya</t>
  </si>
  <si>
    <t>Dades bàsiques</t>
  </si>
  <si>
    <t>Nombre d'òrgans judicials (1)</t>
  </si>
  <si>
    <t>Nombre de jutjats de pau</t>
  </si>
  <si>
    <t>Agrupacions de secretaria de jutjats de pau en funcionament</t>
  </si>
  <si>
    <t>Assumptes en tramitació a l'inici d'any</t>
  </si>
  <si>
    <t>Assumptes ingressats durant l'any</t>
  </si>
  <si>
    <t>Assumptes resolts durant l'any</t>
  </si>
  <si>
    <t>Assumptes en tramitació a final d'any o pendents</t>
  </si>
  <si>
    <t>Pressupost inicial. Programa 211 (milions d'euros)</t>
  </si>
  <si>
    <t>Pressupost executat. Programa 211 (milions d'euros)</t>
  </si>
  <si>
    <t>Indicadors bàsics de justícia</t>
  </si>
  <si>
    <t>Habitants per òrgan judicial</t>
  </si>
  <si>
    <t>Habitants per jutge</t>
  </si>
  <si>
    <t>Jutges per 100.000 habitants</t>
  </si>
  <si>
    <t>Habitants per jutjat de pau</t>
  </si>
  <si>
    <t>Percentatge de població en municipis amb jutjat de pau</t>
  </si>
  <si>
    <t>Despesa executada per habitant (euros)</t>
  </si>
  <si>
    <t>Despesa en justícia gratuïta per habitant (euros)</t>
  </si>
  <si>
    <t>Taxa de litigiositat per 1.000 habitants</t>
  </si>
  <si>
    <t>Taxa de pendència</t>
  </si>
  <si>
    <t>Taxa de resolució</t>
  </si>
  <si>
    <t>Taxa de congestió</t>
  </si>
  <si>
    <t>(1) El CGPJ només comptabilitza els 607 òrgans que generen estadístiques judicials.</t>
  </si>
  <si>
    <t>Estructura judicial</t>
  </si>
  <si>
    <t>Indicadors d'entorn de l'Administració de justícia</t>
  </si>
  <si>
    <t>Població (padró Idescat)</t>
  </si>
  <si>
    <t>Població dels municipis amb jutjat de pau</t>
  </si>
  <si>
    <t>Evolució de la planta judicial de Catalunya</t>
  </si>
  <si>
    <t>Planta judicial</t>
  </si>
  <si>
    <t>Partits judicials</t>
  </si>
  <si>
    <t>Jutges i magistrats</t>
  </si>
  <si>
    <t>Nombre d'òrgans judicials</t>
  </si>
  <si>
    <t>Planta judicial de Catalunya l'any 2019</t>
  </si>
  <si>
    <t>Barcelona</t>
  </si>
  <si>
    <t>Girona</t>
  </si>
  <si>
    <t>Lleida</t>
  </si>
  <si>
    <t>Tarragona</t>
  </si>
  <si>
    <t>Terres de l'Ebre</t>
  </si>
  <si>
    <t>Total</t>
  </si>
  <si>
    <t>Òrgans judicials</t>
  </si>
  <si>
    <t>Òrgans judicials col·legiats</t>
  </si>
  <si>
    <t>Tribunal Superior de Justícia de Catalunya. Sales</t>
  </si>
  <si>
    <t>Audiències provincials. Seccions civils</t>
  </si>
  <si>
    <t>Audiències  provincials. Seccions penals</t>
  </si>
  <si>
    <t>Audiències  provincials. Seccions mixtes</t>
  </si>
  <si>
    <t>Òrgans judicials unipersonals</t>
  </si>
  <si>
    <t>1a Instància</t>
  </si>
  <si>
    <t>Mercantil</t>
  </si>
  <si>
    <t>Instrucció</t>
  </si>
  <si>
    <t>1a Instància i instrucció</t>
  </si>
  <si>
    <t>Violència sobre la dona</t>
  </si>
  <si>
    <t>Penal</t>
  </si>
  <si>
    <t>Menors</t>
  </si>
  <si>
    <t>Vigilància penitenciària</t>
  </si>
  <si>
    <t>Social</t>
  </si>
  <si>
    <t>Contenciós administratiu</t>
  </si>
  <si>
    <t>Jutjat Degà</t>
  </si>
  <si>
    <t>Registre Civil Exclusiu</t>
  </si>
  <si>
    <t>Fiscalies</t>
  </si>
  <si>
    <t>Fiscalia Superior de Catalunya</t>
  </si>
  <si>
    <t>Fiscalies provincials</t>
  </si>
  <si>
    <t>Fiscalies d'àrea</t>
  </si>
  <si>
    <t>Seccions territorials</t>
  </si>
  <si>
    <t>Jutjats de pau</t>
  </si>
  <si>
    <t>Secretaries de jutjats de pau agrupades</t>
  </si>
  <si>
    <t>Agrupacions de secretaries de jutjats de pau creades</t>
  </si>
  <si>
    <t>Secretaries de jutjats de pau agrupades en funcionament</t>
  </si>
  <si>
    <t>Agrupacions de secretaries de jutjats de pau en funcionament</t>
  </si>
  <si>
    <t>Activitat judicial: assumptes i execucions</t>
  </si>
  <si>
    <t>Assumptes judicials en tramitació a l'inici d'any</t>
  </si>
  <si>
    <t>Jurisdicció civil</t>
  </si>
  <si>
    <t>Jutjats de primera instància</t>
  </si>
  <si>
    <t>Jutjats mercantils</t>
  </si>
  <si>
    <t>Jutjats de violència sobre la dona</t>
  </si>
  <si>
    <t>Jutjats de família</t>
  </si>
  <si>
    <t>Jutjats de primera instància i instrucció</t>
  </si>
  <si>
    <t>Jutjats de menors</t>
  </si>
  <si>
    <t>Audiències Provincials. Seccions civils i mixtes</t>
  </si>
  <si>
    <t>Tribunal Superior de Justícia. Sala civil i penal</t>
  </si>
  <si>
    <t>Jurisdicció penal</t>
  </si>
  <si>
    <t>Jutjts d'instrucció</t>
  </si>
  <si>
    <t>Jutjats de violència contra la dona</t>
  </si>
  <si>
    <t>Jutjats de vigilància penitenciària</t>
  </si>
  <si>
    <t>Jutjats penals</t>
  </si>
  <si>
    <t>Audiències Provincials. Seccions penals i mixtes</t>
  </si>
  <si>
    <t>Jurisdicció contenciosa administrativa</t>
  </si>
  <si>
    <t>Jutjats contenciosos administratius</t>
  </si>
  <si>
    <t>Tribunal Superior de Justícia. Sala contenciosa administrativa</t>
  </si>
  <si>
    <t>Jurisdicció social</t>
  </si>
  <si>
    <t>Jutjats socials</t>
  </si>
  <si>
    <t>Tribunal Superior de Justícia. Sala social</t>
  </si>
  <si>
    <t>Total assumptes judicials en tramitació a l'inici d'any</t>
  </si>
  <si>
    <t>Assumptes judicials ingressats durant l'any</t>
  </si>
  <si>
    <t>Audiències provincials. Seccions penals</t>
  </si>
  <si>
    <t>Total assumptes judicials ingressats durant l'any</t>
  </si>
  <si>
    <t>Assumptes judicials resolts durant l'any</t>
  </si>
  <si>
    <t>Audiències Provincials. Seccions civils</t>
  </si>
  <si>
    <t>Total assumptes judicials resolts durant l'any</t>
  </si>
  <si>
    <t>Assumptes judicials en tramitació a final d'any (pendents)</t>
  </si>
  <si>
    <t>Jutjats d'instrucció</t>
  </si>
  <si>
    <t>Total assumptes judicials en tramitació a final d'any</t>
  </si>
  <si>
    <t>Execucions judicials en tramitació a l'inici d'any</t>
  </si>
  <si>
    <t>Jutjats penals executòries</t>
  </si>
  <si>
    <t>Jutjats socials executòries</t>
  </si>
  <si>
    <t>Total execucions judicials en tramitació a l'inici d'any</t>
  </si>
  <si>
    <t>Execucions judicials ingressades durant l'any</t>
  </si>
  <si>
    <t>Total execucions judicials ingressats durant l'any</t>
  </si>
  <si>
    <t>Execucions judicials resoltes durant l'any</t>
  </si>
  <si>
    <t>Total execucions judicials resolts durant l'any</t>
  </si>
  <si>
    <t>Execucions judicials en tramitació a final d'any (pendents)</t>
  </si>
  <si>
    <t>Total execucions judicials en tramitació a final d'any</t>
  </si>
  <si>
    <t>Activitat processal en els jutjats de pau</t>
  </si>
  <si>
    <t>Previst 2n semestre</t>
  </si>
  <si>
    <t>Assumptes penals</t>
  </si>
  <si>
    <t>n.d.</t>
  </si>
  <si>
    <t>Total assumptes penals</t>
  </si>
  <si>
    <t>Assumptes civils</t>
  </si>
  <si>
    <t>Total assumptes civils</t>
  </si>
  <si>
    <t xml:space="preserve">Activitat dels registres civils </t>
  </si>
  <si>
    <t>Activitat registral als jutjats de primera instància</t>
  </si>
  <si>
    <t>Tramitació telemàtica (Inforeg)</t>
  </si>
  <si>
    <t>-</t>
  </si>
  <si>
    <t>Inscripcions informatitzades</t>
  </si>
  <si>
    <t>Certificacions informatitzades</t>
  </si>
  <si>
    <t>Activitat registral als jutjats de pau</t>
  </si>
  <si>
    <t>Registre telemàtic (Inforeg)</t>
  </si>
  <si>
    <t>Registre manual</t>
  </si>
  <si>
    <t>Inscripcions manuals</t>
  </si>
  <si>
    <t>Certificacions manuals</t>
  </si>
  <si>
    <t>Total activitat registral als jutjats de pau</t>
  </si>
  <si>
    <t>Recursos de l'Administració de justícia</t>
  </si>
  <si>
    <t>Indicadors d'impacte directe dels recursos destinats al suport de l'Administració de justícia</t>
  </si>
  <si>
    <t>Respecte del recursos humans</t>
  </si>
  <si>
    <t>Respecte dels recursos econòmics</t>
  </si>
  <si>
    <t>Despesa executada per habitant</t>
  </si>
  <si>
    <t>Despesa en justícia gratuïta per habitant</t>
  </si>
  <si>
    <t>Evolució plantilla orgànica de l'Administració de Justícia a Catalunya</t>
  </si>
  <si>
    <t>Personal del poder judicial</t>
  </si>
  <si>
    <t xml:space="preserve">Magistrats </t>
  </si>
  <si>
    <t xml:space="preserve">Jutges                          </t>
  </si>
  <si>
    <t xml:space="preserve">Personal de l'Administració estatal </t>
  </si>
  <si>
    <t>Lletrats de l'Administració de justícia</t>
  </si>
  <si>
    <t>Fiscal superior</t>
  </si>
  <si>
    <t>Fiscals en cap</t>
  </si>
  <si>
    <t>Tinents fiscal</t>
  </si>
  <si>
    <t>Fiscals cap d'àrea</t>
  </si>
  <si>
    <t xml:space="preserve">Fiscals                   </t>
  </si>
  <si>
    <t xml:space="preserve">Advocats fiscals        </t>
  </si>
  <si>
    <t>Personal de l'Administració catalana</t>
  </si>
  <si>
    <t xml:space="preserve">Secretaris de pau                </t>
  </si>
  <si>
    <t>Gestió processal i administrativa</t>
  </si>
  <si>
    <t>Tramitació processal i administrativa</t>
  </si>
  <si>
    <t xml:space="preserve">Auxili judicial                      </t>
  </si>
  <si>
    <t xml:space="preserve">Metges forenses                 </t>
  </si>
  <si>
    <t>Total personal Administració de justícia</t>
  </si>
  <si>
    <t>Plantilla orgànica de l'Administració de justícia a Catalunya l'any 2019</t>
  </si>
  <si>
    <t>Plantilla adscrita als Jutjats i Tribunals de Catalunya</t>
  </si>
  <si>
    <t>Jutges</t>
  </si>
  <si>
    <t xml:space="preserve">Tramitació processal i administrativa                    </t>
  </si>
  <si>
    <t>Plantilla adscrita a la Fiscalia de Catalunya</t>
  </si>
  <si>
    <t>Fiscals</t>
  </si>
  <si>
    <t>Advocats fiscals</t>
  </si>
  <si>
    <t>Auxili judicial</t>
  </si>
  <si>
    <t>Plantilla adscrita als Jutjats de Pau i Agrupacions</t>
  </si>
  <si>
    <t>Secretaris pau</t>
  </si>
  <si>
    <r>
      <t xml:space="preserve">Persones idònies </t>
    </r>
    <r>
      <rPr>
        <sz val="11"/>
        <rFont val="Calibri"/>
        <family val="2"/>
        <scheme val="minor"/>
      </rPr>
      <t>(1)</t>
    </r>
  </si>
  <si>
    <t>(1) Persones que, sense formar part de l'Administració de justícia, són nomenades per realitzar les funcions de les secretaries dels jutjats de pau i registres civils.</t>
  </si>
  <si>
    <t>Evolució de les despeses pel suport a l'Administració de Justícia a Catalunya</t>
  </si>
  <si>
    <t>(en milions d'euros)</t>
  </si>
  <si>
    <t>Despesa del programa pressupostari 211 de suport a l'Administració de Justícia</t>
  </si>
  <si>
    <t>Pressupost inicial programa 211</t>
  </si>
  <si>
    <t>Pressupost definitiu programa 211</t>
  </si>
  <si>
    <t>Pressupost executat programa 211</t>
  </si>
  <si>
    <t>Despesa en serveis de suport a l'Administració de Justícia</t>
  </si>
  <si>
    <t>Despesa en serveis d'orientació jurídica (SOJ)</t>
  </si>
  <si>
    <t>Despesa en assistència jurídica gratuïta (inclou SOJ)</t>
  </si>
  <si>
    <t>Despesa en peritatges</t>
  </si>
  <si>
    <t>Despesa en traduccions i interpretacions</t>
  </si>
  <si>
    <t>Subvencions concedides als Aj. en matèria de jutjats de pau</t>
  </si>
  <si>
    <t>Detall de les subvencions a ajuntaments amb jutjat de pau</t>
  </si>
  <si>
    <t>Subvencions en jutjats de pau atorgades</t>
  </si>
  <si>
    <t>Despesa de capítol 2 dels serveis de suport a l'activitat judicial</t>
  </si>
  <si>
    <t>Despesa de capítol 2 dels serveis de peritatges</t>
  </si>
  <si>
    <t>Barcelona comarques</t>
  </si>
  <si>
    <t>Barcelona ciutat</t>
  </si>
  <si>
    <t xml:space="preserve">Lleida </t>
  </si>
  <si>
    <t>Despesa de capítol 2 en traduccions i interpretacions (2)</t>
  </si>
  <si>
    <t>Serveis centrals</t>
  </si>
  <si>
    <t>Despesa en traduccions</t>
  </si>
  <si>
    <t>Despesa en interpretacions</t>
  </si>
  <si>
    <t>Despesa en idioma de signes</t>
  </si>
  <si>
    <t>Despesa en actuacions del servei d’Assistència jurídica gratuïta</t>
  </si>
  <si>
    <t>Serveis d'orientació jurídica (SOJ)</t>
  </si>
  <si>
    <t>Actuacions d'advocats</t>
  </si>
  <si>
    <t>Actuacions de procediments</t>
  </si>
  <si>
    <t>Assistències al detingut</t>
  </si>
  <si>
    <t>Despeses de gestió</t>
  </si>
  <si>
    <t>Actuacions de procuradors</t>
  </si>
  <si>
    <t xml:space="preserve">Total despesa en assistència jurídica gratuïta </t>
  </si>
  <si>
    <t>(2) La despesa pressupostària en traduccions i interpretacions de l'any 2016, inclou la regularització de l'any 2015.</t>
  </si>
  <si>
    <t>Modernització de l'Administració de justícia</t>
  </si>
  <si>
    <t>Indicadors de seguiment de la modernització de l'Administració de justícia</t>
  </si>
  <si>
    <t>Respecte de la implementació de l'oficina judicial</t>
  </si>
  <si>
    <t>% de partits judicials amb oficina judicial</t>
  </si>
  <si>
    <t>Respecte de la implementació de l'expedient judicial electrònic i els usos de les TIC</t>
  </si>
  <si>
    <t>% òrgans judicials amb el mòdul de Gestió Processal</t>
  </si>
  <si>
    <t>% assumptes civils, socials i contenciosos telemàtics</t>
  </si>
  <si>
    <t>% assumptes penals telemàtics</t>
  </si>
  <si>
    <t>% documents signats electrònicament</t>
  </si>
  <si>
    <t>Respecte dels serveis d'arxiu, biblioteques i efectes judicials</t>
  </si>
  <si>
    <t>Documentació custodiada en els arxius judicials (m/l)</t>
  </si>
  <si>
    <t>Efectes custodiats als dipòsits judicials (m/l)</t>
  </si>
  <si>
    <t>Objectes custodiats als dipòsits judicials</t>
  </si>
  <si>
    <t>Implementació de l'oficina judicial</t>
  </si>
  <si>
    <t>Estat de la implementació</t>
  </si>
  <si>
    <t>Partits amb oficina judicial</t>
  </si>
  <si>
    <t>Òrgans judicials que compten amb el model d'oficina judicial</t>
  </si>
  <si>
    <t>Serveis Comuns Processals Generals (SCPG) (1)</t>
  </si>
  <si>
    <t>Serveis Comuns Processals d'Execució (SCPE)</t>
  </si>
  <si>
    <t>Serveis Comuns Processals Generals i d'Execució (SCPGiE)</t>
  </si>
  <si>
    <t>Unitats Processals de Suport Directe</t>
  </si>
  <si>
    <t>Tasques d'implementació i reducció de pendències de l'Equip d'actuació prèvia (EAP) (2)</t>
  </si>
  <si>
    <t>Procediments tramitats</t>
  </si>
  <si>
    <t>Escrits proveïts</t>
  </si>
  <si>
    <t>Import retornat pels EAP via manament de devolució</t>
  </si>
  <si>
    <t>(1) No es computen els serveis comuns pilots.</t>
  </si>
  <si>
    <t>(2) Durant el 2019 no s'han implementat noves oficines judicials, motiu pel qual l'EAP s'ha encarregat de reduir la taxa de pendència de les unitats ja implementades amb més endarreriment.</t>
  </si>
  <si>
    <r>
      <t xml:space="preserve">Implantació de l'expedient judicial electrònic </t>
    </r>
    <r>
      <rPr>
        <sz val="11"/>
        <rFont val="Calibri"/>
        <family val="2"/>
        <scheme val="minor"/>
      </rPr>
      <t>(desplegament del sistema e-justicia.cat)</t>
    </r>
  </si>
  <si>
    <t>Audiència provincial amb implantació de mòduls funcionals</t>
  </si>
  <si>
    <t>TDJ. Tribunal del jurat</t>
  </si>
  <si>
    <t>Partits judicials amb implantació de mòduls funcionals</t>
  </si>
  <si>
    <t>RIR. Registre i repartiment</t>
  </si>
  <si>
    <t>RED. Recepció d'escrits i documents</t>
  </si>
  <si>
    <t>TTA. Transmissió telemàtica d'assumptes</t>
  </si>
  <si>
    <t>GRP. Gestió de requeriments policials</t>
  </si>
  <si>
    <t xml:space="preserve">AGU. Arxivament i Gestió d'Ubicacions </t>
  </si>
  <si>
    <t>GEF. Gestió d'efectes</t>
  </si>
  <si>
    <t>RGU. Registre de la guàrdia</t>
  </si>
  <si>
    <t>SAC. Servei d'actes de comunicació (mòdul Temis2)</t>
  </si>
  <si>
    <t>Òrgans judicials amb el mòdul de gestió processal</t>
  </si>
  <si>
    <t>Jurisdicció civil (3)</t>
  </si>
  <si>
    <t>Jurisdicció penal (4)</t>
  </si>
  <si>
    <t>Jurisdicció civil i penal (5)</t>
  </si>
  <si>
    <t>Jurisdicció contenciós-administratiu</t>
  </si>
  <si>
    <t>(3) Jutjats civils exclusiu, mercantils i seccions civils de l'Audiència Provincial</t>
  </si>
  <si>
    <t>(4) Jutjats penals exclusiu i seccions penals de l'Audiència Provincial</t>
  </si>
  <si>
    <t>(5) Jutjats de primera instància i instrucció (mixtes)</t>
  </si>
  <si>
    <t>Usos de les TIC a la justícia</t>
  </si>
  <si>
    <t>Sistema e-justícia.cat</t>
  </si>
  <si>
    <t>Assumptes civils, socials i contenciosos presentats telemàticament amb e-justícia.cat</t>
  </si>
  <si>
    <t>Assumptes penals presentats telemàticament amb e-justícia.cat</t>
  </si>
  <si>
    <t>Escrits totalment telemàtics presentats</t>
  </si>
  <si>
    <t>Documents signats electrònicament en e-justícia.cat</t>
  </si>
  <si>
    <t>Altres sistemes</t>
  </si>
  <si>
    <t>Vistes enregistrades (Arconte Aurea)</t>
  </si>
  <si>
    <t xml:space="preserve">Naixements comunicats telemàticament als registre civils </t>
  </si>
  <si>
    <t>Cites prèvies agendades telemàticament als registres civils</t>
  </si>
  <si>
    <t>Serveis d’arxius, biblioteques i efectes judicials</t>
  </si>
  <si>
    <t>Arxius judicials</t>
  </si>
  <si>
    <t>Consultes i préstecs realitzats</t>
  </si>
  <si>
    <t>Documentació inventariada (m/l)</t>
  </si>
  <si>
    <t>Documentació eliminada (m/l)</t>
  </si>
  <si>
    <t>Biblioteques judicials</t>
  </si>
  <si>
    <t>Exemplars del fons bibliogràfic</t>
  </si>
  <si>
    <t>114.263 </t>
  </si>
  <si>
    <t>Consultes ateses</t>
  </si>
  <si>
    <t>32.234 </t>
  </si>
  <si>
    <t>Serveis d'informació realitzats</t>
  </si>
  <si>
    <t>4.042 </t>
  </si>
  <si>
    <t>4.084 </t>
  </si>
  <si>
    <t>Dipòsits d'efectes  judicials (6)</t>
  </si>
  <si>
    <t>Objectes que han sortit dels dipòsits judicials (devolució, destrucció, subhasta, donació)</t>
  </si>
  <si>
    <t>Vehicles intervinguts</t>
  </si>
  <si>
    <t>m/l = metres linials</t>
  </si>
  <si>
    <t>(6) Un efecte judicial pot estar format per diferents objectes.</t>
  </si>
  <si>
    <t>Medicina legal i ciències forenses</t>
  </si>
  <si>
    <t>Principals actuacions</t>
  </si>
  <si>
    <t>Previst 2n trimestre</t>
  </si>
  <si>
    <t>Àmbit penal</t>
  </si>
  <si>
    <t>Informes de reconeixement de lesionats</t>
  </si>
  <si>
    <t>Assistència mèdica a detinguts</t>
  </si>
  <si>
    <t>Informes de valoracions psiquiàtriques</t>
  </si>
  <si>
    <t>Informes d'agressions sexuals</t>
  </si>
  <si>
    <t>Informes de pressumptes mala praxis mèdica</t>
  </si>
  <si>
    <t>Informes de determinació edat per a la Fiscalia de Menors</t>
  </si>
  <si>
    <t>Autòpsies</t>
  </si>
  <si>
    <t>Àmbit civil</t>
  </si>
  <si>
    <t>Informes d'incapacitacions</t>
  </si>
  <si>
    <t>Informes d'internaments psiquiàtrics</t>
  </si>
  <si>
    <t>Actuacions de registre civil</t>
  </si>
  <si>
    <t>Àmbit social</t>
  </si>
  <si>
    <t>Informes en assumptes socials</t>
  </si>
  <si>
    <t>Nombre de casos atesos pel Servei de Laboratori</t>
  </si>
  <si>
    <t>Pericials extrajudicials</t>
  </si>
  <si>
    <t>Barcelona Ciutat i l'Hospitalet</t>
  </si>
  <si>
    <t>Barcelona Comarques</t>
  </si>
  <si>
    <t>Total de pericials extrajudicials</t>
  </si>
  <si>
    <t>Serveis de justícia gratuïta</t>
  </si>
  <si>
    <t>Assumptes gestionats per les comissions d’assistència jurídica gratuïta</t>
  </si>
  <si>
    <t>Assumptes pendents inici d'any</t>
  </si>
  <si>
    <t>Assumptes entrats</t>
  </si>
  <si>
    <t>Assumptes resolts</t>
  </si>
  <si>
    <t>Assumptes pendents l'últim dia de l'any</t>
  </si>
  <si>
    <t>Assumptes gestionats (1)</t>
  </si>
  <si>
    <t>(1) Suma dels assumptes resolts i els pendents l'últim dia de l'any</t>
  </si>
  <si>
    <t>Actuacions derivades pel servei d’assistència jurídica gratuïta</t>
  </si>
  <si>
    <t>Actuacions procedimentals-assumptes d'ofici</t>
  </si>
  <si>
    <t>Àmbit contenciós administratiu</t>
  </si>
  <si>
    <t>Recurs de cassació</t>
  </si>
  <si>
    <t>Normes generals</t>
  </si>
  <si>
    <t>Actuacions d'assistències (2)</t>
  </si>
  <si>
    <t>Assistència al detingut</t>
  </si>
  <si>
    <t>Servei de guàrdia assistència (fins a 5)</t>
  </si>
  <si>
    <t>Servei de guàrdia assistència (més de 5)</t>
  </si>
  <si>
    <t>(2) Inclou les actuacions d'assitència en casos de violència contra la dona (VIDO) a la persona investigada i a la víctima.</t>
  </si>
  <si>
    <t>Serveis de suport a l'activitat judicial</t>
  </si>
  <si>
    <t>Consultes ateses des de les Oficines d'atenció al ciutadà</t>
  </si>
  <si>
    <t>Dades provisionals</t>
  </si>
  <si>
    <t>Segons gerència o servei territorial</t>
  </si>
  <si>
    <t>Segons tipologia d'atenció</t>
  </si>
  <si>
    <t>Acollida i direccionament</t>
  </si>
  <si>
    <t>Repartiment d’assumptes</t>
  </si>
  <si>
    <t>Estat de tramitació dels expedients, assenyalaments i citacions</t>
  </si>
  <si>
    <t>Ubicació òrgans judicials i altres</t>
  </si>
  <si>
    <t>Localització de professionals</t>
  </si>
  <si>
    <t>Informació genèrica sobre procediments</t>
  </si>
  <si>
    <t>Aclariments sobre documents</t>
  </si>
  <si>
    <t>Registre d’escrits</t>
  </si>
  <si>
    <t>Total consultes ateses</t>
  </si>
  <si>
    <t>Nombre d'Oficines d'atenció al ciutadà</t>
  </si>
  <si>
    <t xml:space="preserve">Total d'oficines d'atenció al ciutadà </t>
  </si>
  <si>
    <t>Serveis de peritatge</t>
  </si>
  <si>
    <t>Nombre de peritatges</t>
  </si>
  <si>
    <t>Peritages de personal extern</t>
  </si>
  <si>
    <t>Béns mobles</t>
  </si>
  <si>
    <t>Béns immobles</t>
  </si>
  <si>
    <t>En execució social</t>
  </si>
  <si>
    <t>Resta de peritatges</t>
  </si>
  <si>
    <t>Peritages de personal propi</t>
  </si>
  <si>
    <t>Total peritatges realitzats</t>
  </si>
  <si>
    <t>Serveis de traducció i interpretació</t>
  </si>
  <si>
    <t>Nombre de traduccions i interpretacions</t>
  </si>
  <si>
    <t>Total traduccions i interpretacions realitzades</t>
  </si>
  <si>
    <t>Nombre de traduccions</t>
  </si>
  <si>
    <t>en català</t>
  </si>
  <si>
    <t>en francès</t>
  </si>
  <si>
    <t>en anglès</t>
  </si>
  <si>
    <t>en alemany</t>
  </si>
  <si>
    <t>en italià</t>
  </si>
  <si>
    <t>en la resta d'idiomes</t>
  </si>
  <si>
    <t>Nombre d'idiomes traduïts</t>
  </si>
  <si>
    <t>Nombre d'interpretacions</t>
  </si>
  <si>
    <t>en àrab</t>
  </si>
  <si>
    <t>en romanès</t>
  </si>
  <si>
    <t>en urdú</t>
  </si>
  <si>
    <t>Nombre d'idiomes interpretats</t>
  </si>
  <si>
    <t>Nombre d'interpretacions en idiomes de signes</t>
  </si>
  <si>
    <t>Serveis dels Equips d'Assessorament Tècnic en l'Àmbit de la Família</t>
  </si>
  <si>
    <t>Nombre d'assumptes</t>
  </si>
  <si>
    <t>Peticions rebudes</t>
  </si>
  <si>
    <t>Peticions resoltes</t>
  </si>
  <si>
    <t>Resolució per informe</t>
  </si>
  <si>
    <t>Resolució per altres motius</t>
  </si>
  <si>
    <t>Ús del català a la justícia</t>
  </si>
  <si>
    <t>Idioma de les sentències segons gerències</t>
  </si>
  <si>
    <t>Sentències en català</t>
  </si>
  <si>
    <t>Barcelona-ciutat</t>
  </si>
  <si>
    <t>Barcelona-comarques</t>
  </si>
  <si>
    <t>Sentències en castellà</t>
  </si>
  <si>
    <t>Total de sentències judicials</t>
  </si>
  <si>
    <t>Cursos de català per al personal de l'Administració de justícia</t>
  </si>
  <si>
    <t>Nombre de cursos</t>
  </si>
  <si>
    <t>Presencial nivell A1</t>
  </si>
  <si>
    <t>Presencial nivell A2</t>
  </si>
  <si>
    <t>Presencial nivell B</t>
  </si>
  <si>
    <t>Presencial nivell C</t>
  </si>
  <si>
    <t>Presencial nivell J</t>
  </si>
  <si>
    <t>Nombre total d'inscrits (1)</t>
  </si>
  <si>
    <t>Personal de l'AJ</t>
  </si>
  <si>
    <t>Inscrits al mòdul pràctic nivell C i J</t>
  </si>
  <si>
    <t>Professionals (advocats, procuradors, notaris i registradors)</t>
  </si>
  <si>
    <t>(1) Presencials i no presencials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</si>
</sst>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%"/>
    <numFmt numFmtId="166" formatCode="#,##0.0"/>
    <numFmt numFmtId="167" formatCode="#,##0.00\ &quot;€&quot;"/>
    <numFmt numFmtId="168" formatCode="#,##0.00,,\ &quot;M€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12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4" fillId="0" borderId="0"/>
    <xf numFmtId="9" fontId="21" fillId="0" borderId="0" applyFont="0" applyFill="0" applyBorder="0" applyAlignment="0" applyProtection="0"/>
  </cellStyleXfs>
  <cellXfs count="311">
    <xf numFmtId="0" fontId="0" fillId="0" borderId="0" xfId="0"/>
    <xf numFmtId="0" fontId="8" fillId="0" borderId="0" xfId="0" applyFont="1"/>
    <xf numFmtId="0" fontId="2" fillId="0" borderId="0" xfId="6" applyFont="1"/>
    <xf numFmtId="0" fontId="12" fillId="0" borderId="0" xfId="5"/>
    <xf numFmtId="0" fontId="10" fillId="3" borderId="0" xfId="6" applyFont="1" applyFill="1"/>
    <xf numFmtId="0" fontId="11" fillId="3" borderId="0" xfId="6" applyFont="1" applyFill="1"/>
    <xf numFmtId="0" fontId="9" fillId="3" borderId="0" xfId="6" applyFont="1" applyFill="1"/>
    <xf numFmtId="0" fontId="8" fillId="0" borderId="0" xfId="0" applyFont="1" applyFill="1"/>
    <xf numFmtId="2" fontId="8" fillId="0" borderId="1" xfId="0" applyNumberFormat="1" applyFont="1" applyBorder="1"/>
    <xf numFmtId="0" fontId="8" fillId="0" borderId="1" xfId="0" applyFont="1" applyBorder="1" applyAlignment="1">
      <alignment horizontal="left" indent="1"/>
    </xf>
    <xf numFmtId="0" fontId="8" fillId="0" borderId="2" xfId="0" applyFont="1" applyFill="1" applyBorder="1"/>
    <xf numFmtId="0" fontId="8" fillId="0" borderId="2" xfId="0" applyFont="1" applyBorder="1"/>
    <xf numFmtId="0" fontId="14" fillId="0" borderId="2" xfId="0" applyFont="1" applyBorder="1"/>
    <xf numFmtId="3" fontId="8" fillId="0" borderId="1" xfId="0" applyNumberFormat="1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3" xfId="0" applyFont="1" applyBorder="1"/>
    <xf numFmtId="0" fontId="8" fillId="0" borderId="0" xfId="0" applyFont="1" applyBorder="1"/>
    <xf numFmtId="3" fontId="8" fillId="0" borderId="0" xfId="0" applyNumberFormat="1" applyFont="1"/>
    <xf numFmtId="0" fontId="8" fillId="0" borderId="0" xfId="1" applyFont="1"/>
    <xf numFmtId="0" fontId="14" fillId="0" borderId="0" xfId="1" applyFont="1" applyFill="1" applyAlignment="1"/>
    <xf numFmtId="3" fontId="14" fillId="0" borderId="6" xfId="8" applyNumberFormat="1" applyFont="1" applyFill="1" applyBorder="1" applyAlignment="1">
      <alignment horizontal="right"/>
    </xf>
    <xf numFmtId="0" fontId="14" fillId="0" borderId="3" xfId="1" applyFont="1" applyFill="1" applyBorder="1" applyAlignment="1" applyProtection="1">
      <alignment horizontal="right" wrapText="1"/>
    </xf>
    <xf numFmtId="0" fontId="8" fillId="0" borderId="1" xfId="1" applyFont="1" applyFill="1" applyBorder="1"/>
    <xf numFmtId="0" fontId="8" fillId="0" borderId="1" xfId="1" applyFont="1" applyFill="1" applyBorder="1" applyAlignment="1">
      <alignment horizontal="left" indent="1"/>
    </xf>
    <xf numFmtId="0" fontId="14" fillId="0" borderId="2" xfId="1" applyFont="1" applyFill="1" applyBorder="1"/>
    <xf numFmtId="0" fontId="8" fillId="0" borderId="1" xfId="1" applyFont="1" applyBorder="1" applyAlignment="1">
      <alignment horizontal="left" indent="1"/>
    </xf>
    <xf numFmtId="0" fontId="14" fillId="0" borderId="8" xfId="1" applyFont="1" applyFill="1" applyBorder="1"/>
    <xf numFmtId="3" fontId="14" fillId="0" borderId="8" xfId="0" applyNumberFormat="1" applyFont="1" applyFill="1" applyBorder="1"/>
    <xf numFmtId="0" fontId="14" fillId="0" borderId="8" xfId="0" applyFont="1" applyFill="1" applyBorder="1"/>
    <xf numFmtId="0" fontId="8" fillId="0" borderId="1" xfId="0" applyFont="1" applyFill="1" applyBorder="1" applyAlignment="1">
      <alignment horizontal="left" indent="1"/>
    </xf>
    <xf numFmtId="3" fontId="14" fillId="0" borderId="0" xfId="0" applyNumberFormat="1" applyFont="1" applyFill="1"/>
    <xf numFmtId="0" fontId="14" fillId="0" borderId="0" xfId="0" applyFont="1" applyFill="1"/>
    <xf numFmtId="0" fontId="14" fillId="0" borderId="3" xfId="0" applyFont="1" applyFill="1" applyBorder="1" applyAlignment="1">
      <alignment horizontal="right" wrapText="1"/>
    </xf>
    <xf numFmtId="0" fontId="14" fillId="0" borderId="3" xfId="0" applyFont="1" applyFill="1" applyBorder="1"/>
    <xf numFmtId="0" fontId="14" fillId="0" borderId="0" xfId="0" applyFont="1" applyFill="1" applyAlignment="1">
      <alignment horizontal="right" wrapText="1"/>
    </xf>
    <xf numFmtId="0" fontId="14" fillId="0" borderId="0" xfId="0" applyFont="1" applyFill="1" applyAlignment="1">
      <alignment horizontal="right"/>
    </xf>
    <xf numFmtId="0" fontId="14" fillId="0" borderId="0" xfId="0" applyFont="1" applyAlignment="1">
      <alignment horizontal="left"/>
    </xf>
    <xf numFmtId="0" fontId="14" fillId="0" borderId="3" xfId="0" quotePrefix="1" applyFont="1" applyFill="1" applyBorder="1" applyAlignment="1">
      <alignment horizontal="right"/>
    </xf>
    <xf numFmtId="0" fontId="14" fillId="0" borderId="0" xfId="0" applyFont="1" applyFill="1" applyAlignment="1"/>
    <xf numFmtId="3" fontId="8" fillId="0" borderId="0" xfId="0" applyNumberFormat="1" applyFont="1" applyFill="1" applyBorder="1" applyAlignment="1">
      <alignment horizontal="left"/>
    </xf>
    <xf numFmtId="0" fontId="17" fillId="0" borderId="0" xfId="0" applyFont="1" applyFill="1"/>
    <xf numFmtId="0" fontId="13" fillId="0" borderId="0" xfId="0" applyFont="1" applyFill="1" applyAlignment="1">
      <alignment horizontal="left" indent="1"/>
    </xf>
    <xf numFmtId="3" fontId="13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indent="2"/>
    </xf>
    <xf numFmtId="3" fontId="17" fillId="0" borderId="2" xfId="0" applyNumberFormat="1" applyFont="1" applyFill="1" applyBorder="1"/>
    <xf numFmtId="0" fontId="17" fillId="0" borderId="2" xfId="0" applyFont="1" applyFill="1" applyBorder="1" applyAlignment="1">
      <alignment horizontal="left"/>
    </xf>
    <xf numFmtId="3" fontId="17" fillId="0" borderId="9" xfId="0" applyNumberFormat="1" applyFont="1" applyFill="1" applyBorder="1"/>
    <xf numFmtId="0" fontId="17" fillId="0" borderId="9" xfId="0" applyFont="1" applyFill="1" applyBorder="1" applyAlignment="1">
      <alignment horizontal="left"/>
    </xf>
    <xf numFmtId="0" fontId="17" fillId="0" borderId="3" xfId="0" applyFont="1" applyFill="1" applyBorder="1"/>
    <xf numFmtId="3" fontId="19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 indent="1"/>
    </xf>
    <xf numFmtId="0" fontId="14" fillId="0" borderId="1" xfId="0" applyFont="1" applyFill="1" applyBorder="1" applyAlignment="1">
      <alignment horizontal="left" indent="1"/>
    </xf>
    <xf numFmtId="0" fontId="14" fillId="0" borderId="2" xfId="0" applyFont="1" applyFill="1" applyBorder="1" applyAlignment="1"/>
    <xf numFmtId="0" fontId="8" fillId="0" borderId="0" xfId="0" applyFont="1" applyFill="1" applyAlignment="1"/>
    <xf numFmtId="3" fontId="8" fillId="0" borderId="0" xfId="0" applyNumberFormat="1" applyFont="1" applyFill="1" applyBorder="1" applyAlignment="1">
      <alignment horizontal="right"/>
    </xf>
    <xf numFmtId="3" fontId="14" fillId="0" borderId="1" xfId="0" applyNumberFormat="1" applyFont="1" applyFill="1" applyBorder="1"/>
    <xf numFmtId="0" fontId="8" fillId="0" borderId="3" xfId="0" applyFont="1" applyFill="1" applyBorder="1"/>
    <xf numFmtId="3" fontId="13" fillId="0" borderId="1" xfId="1" applyNumberFormat="1" applyFont="1" applyFill="1" applyBorder="1" applyAlignment="1">
      <alignment horizontal="right"/>
    </xf>
    <xf numFmtId="0" fontId="13" fillId="0" borderId="1" xfId="1" applyFont="1" applyFill="1" applyBorder="1" applyAlignment="1">
      <alignment horizontal="left" indent="2"/>
    </xf>
    <xf numFmtId="3" fontId="17" fillId="0" borderId="2" xfId="1" applyNumberFormat="1" applyFont="1" applyFill="1" applyBorder="1" applyAlignment="1">
      <alignment horizontal="right"/>
    </xf>
    <xf numFmtId="0" fontId="17" fillId="0" borderId="2" xfId="1" applyFont="1" applyFill="1" applyBorder="1" applyAlignment="1">
      <alignment horizontal="left" wrapText="1"/>
    </xf>
    <xf numFmtId="167" fontId="8" fillId="0" borderId="0" xfId="0" applyNumberFormat="1" applyFont="1" applyFill="1"/>
    <xf numFmtId="167" fontId="8" fillId="0" borderId="0" xfId="0" applyNumberFormat="1" applyFont="1"/>
    <xf numFmtId="0" fontId="17" fillId="0" borderId="3" xfId="1" applyFont="1" applyFill="1" applyBorder="1" applyAlignment="1">
      <alignment horizontal="left"/>
    </xf>
    <xf numFmtId="3" fontId="17" fillId="0" borderId="8" xfId="1" applyNumberFormat="1" applyFont="1" applyFill="1" applyBorder="1" applyAlignment="1">
      <alignment horizontal="right"/>
    </xf>
    <xf numFmtId="0" fontId="17" fillId="0" borderId="8" xfId="1" applyFont="1" applyFill="1" applyBorder="1"/>
    <xf numFmtId="3" fontId="13" fillId="0" borderId="0" xfId="1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0" fontId="13" fillId="0" borderId="1" xfId="1" applyFont="1" applyFill="1" applyBorder="1" applyAlignment="1">
      <alignment horizontal="left" indent="1"/>
    </xf>
    <xf numFmtId="0" fontId="17" fillId="0" borderId="2" xfId="1" applyFont="1" applyFill="1" applyBorder="1"/>
    <xf numFmtId="3" fontId="14" fillId="0" borderId="1" xfId="1" applyNumberFormat="1" applyFont="1" applyFill="1" applyBorder="1"/>
    <xf numFmtId="0" fontId="14" fillId="0" borderId="1" xfId="1" applyFont="1" applyFill="1" applyBorder="1"/>
    <xf numFmtId="0" fontId="14" fillId="0" borderId="8" xfId="0" applyFont="1" applyFill="1" applyBorder="1" applyAlignment="1"/>
    <xf numFmtId="3" fontId="8" fillId="0" borderId="1" xfId="0" applyNumberFormat="1" applyFont="1" applyFill="1" applyBorder="1" applyAlignment="1">
      <alignment horizontal="right"/>
    </xf>
    <xf numFmtId="3" fontId="14" fillId="0" borderId="8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indent="2"/>
    </xf>
    <xf numFmtId="0" fontId="8" fillId="0" borderId="0" xfId="1" applyFont="1" applyFill="1"/>
    <xf numFmtId="0" fontId="13" fillId="0" borderId="1" xfId="0" applyFont="1" applyFill="1" applyBorder="1" applyAlignment="1">
      <alignment horizontal="right" vertical="top" wrapText="1"/>
    </xf>
    <xf numFmtId="0" fontId="13" fillId="0" borderId="3" xfId="0" applyFont="1" applyFill="1" applyBorder="1" applyAlignment="1">
      <alignment horizontal="right" vertical="top" wrapText="1"/>
    </xf>
    <xf numFmtId="3" fontId="14" fillId="0" borderId="2" xfId="1" applyNumberFormat="1" applyFont="1" applyFill="1" applyBorder="1"/>
    <xf numFmtId="0" fontId="14" fillId="0" borderId="3" xfId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7" fillId="0" borderId="3" xfId="1" quotePrefix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8" fontId="17" fillId="0" borderId="8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left" wrapText="1"/>
    </xf>
    <xf numFmtId="0" fontId="8" fillId="0" borderId="0" xfId="8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14" fillId="0" borderId="0" xfId="8" applyFont="1" applyFill="1" applyAlignment="1">
      <alignment wrapText="1"/>
    </xf>
    <xf numFmtId="0" fontId="14" fillId="0" borderId="7" xfId="8" applyFont="1" applyFill="1" applyBorder="1" applyAlignment="1">
      <alignment wrapText="1"/>
    </xf>
    <xf numFmtId="0" fontId="14" fillId="0" borderId="7" xfId="8" applyFont="1" applyFill="1" applyBorder="1" applyAlignment="1">
      <alignment horizontal="right"/>
    </xf>
    <xf numFmtId="0" fontId="14" fillId="0" borderId="2" xfId="0" applyFont="1" applyFill="1" applyBorder="1" applyAlignment="1">
      <alignment wrapText="1"/>
    </xf>
    <xf numFmtId="165" fontId="8" fillId="0" borderId="5" xfId="9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left" wrapText="1"/>
    </xf>
    <xf numFmtId="2" fontId="8" fillId="0" borderId="6" xfId="0" applyNumberFormat="1" applyFont="1" applyFill="1" applyBorder="1" applyAlignment="1">
      <alignment horizontal="right"/>
    </xf>
    <xf numFmtId="3" fontId="8" fillId="0" borderId="5" xfId="9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wrapText="1"/>
    </xf>
    <xf numFmtId="0" fontId="8" fillId="0" borderId="10" xfId="0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8" fillId="0" borderId="3" xfId="0" applyFont="1" applyFill="1" applyBorder="1" applyAlignment="1">
      <alignment wrapText="1"/>
    </xf>
    <xf numFmtId="0" fontId="17" fillId="0" borderId="2" xfId="0" applyFont="1" applyFill="1" applyBorder="1" applyAlignment="1">
      <alignment horizontal="left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9" fillId="0" borderId="0" xfId="0" applyFont="1" applyFill="1"/>
    <xf numFmtId="0" fontId="17" fillId="0" borderId="3" xfId="1" applyFont="1" applyFill="1" applyBorder="1" applyAlignment="1">
      <alignment horizontal="left" wrapText="1"/>
    </xf>
    <xf numFmtId="3" fontId="8" fillId="0" borderId="0" xfId="0" applyNumberFormat="1" applyFont="1" applyFill="1"/>
    <xf numFmtId="0" fontId="17" fillId="0" borderId="2" xfId="0" applyFont="1" applyFill="1" applyBorder="1" applyAlignment="1">
      <alignment horizontal="left" wrapText="1" indent="1"/>
    </xf>
    <xf numFmtId="0" fontId="16" fillId="0" borderId="0" xfId="1" applyFont="1" applyFill="1"/>
    <xf numFmtId="0" fontId="14" fillId="0" borderId="0" xfId="0" applyFont="1" applyFill="1" applyAlignment="1">
      <alignment horizontal="left"/>
    </xf>
    <xf numFmtId="0" fontId="20" fillId="0" borderId="1" xfId="1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0" fontId="8" fillId="0" borderId="0" xfId="8" applyFont="1" applyFill="1" applyAlignment="1">
      <alignment horizontal="center"/>
    </xf>
    <xf numFmtId="2" fontId="8" fillId="0" borderId="6" xfId="0" applyNumberFormat="1" applyFont="1" applyFill="1" applyBorder="1"/>
    <xf numFmtId="167" fontId="8" fillId="0" borderId="5" xfId="0" applyNumberFormat="1" applyFont="1" applyFill="1" applyBorder="1"/>
    <xf numFmtId="0" fontId="8" fillId="0" borderId="10" xfId="0" applyFont="1" applyFill="1" applyBorder="1"/>
    <xf numFmtId="0" fontId="14" fillId="0" borderId="6" xfId="8" applyFont="1" applyFill="1" applyBorder="1" applyAlignment="1">
      <alignment wrapText="1"/>
    </xf>
    <xf numFmtId="0" fontId="14" fillId="0" borderId="4" xfId="8" applyFont="1" applyFill="1" applyBorder="1" applyAlignment="1">
      <alignment wrapText="1"/>
    </xf>
    <xf numFmtId="3" fontId="14" fillId="0" borderId="4" xfId="8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/>
    <xf numFmtId="0" fontId="8" fillId="0" borderId="0" xfId="8" applyFont="1" applyFill="1" applyAlignment="1">
      <alignment horizontal="left"/>
    </xf>
    <xf numFmtId="0" fontId="8" fillId="0" borderId="0" xfId="8" applyFont="1" applyFill="1"/>
    <xf numFmtId="0" fontId="14" fillId="0" borderId="0" xfId="8" applyFont="1" applyFill="1" applyBorder="1" applyAlignment="1">
      <alignment wrapText="1"/>
    </xf>
    <xf numFmtId="0" fontId="8" fillId="0" borderId="0" xfId="1" applyFont="1" applyFill="1" applyAlignment="1">
      <alignment wrapText="1"/>
    </xf>
    <xf numFmtId="49" fontId="5" fillId="0" borderId="0" xfId="1" applyNumberFormat="1" applyAlignment="1">
      <alignment horizontal="right"/>
    </xf>
    <xf numFmtId="0" fontId="5" fillId="0" borderId="0" xfId="1"/>
    <xf numFmtId="0" fontId="14" fillId="0" borderId="0" xfId="1" applyFont="1" applyAlignment="1">
      <alignment horizontal="left"/>
    </xf>
    <xf numFmtId="3" fontId="8" fillId="0" borderId="0" xfId="1" applyNumberFormat="1" applyFont="1"/>
    <xf numFmtId="0" fontId="14" fillId="0" borderId="3" xfId="1" applyFont="1" applyFill="1" applyBorder="1"/>
    <xf numFmtId="0" fontId="14" fillId="0" borderId="3" xfId="1" quotePrefix="1" applyFont="1" applyFill="1" applyBorder="1" applyAlignment="1">
      <alignment horizontal="right"/>
    </xf>
    <xf numFmtId="49" fontId="22" fillId="0" borderId="0" xfId="1" applyNumberFormat="1" applyFont="1" applyAlignment="1">
      <alignment horizontal="right"/>
    </xf>
    <xf numFmtId="3" fontId="8" fillId="0" borderId="0" xfId="1" applyNumberFormat="1" applyFont="1" applyFill="1" applyBorder="1" applyAlignment="1">
      <alignment horizontal="left"/>
    </xf>
    <xf numFmtId="0" fontId="23" fillId="0" borderId="0" xfId="1" applyFont="1"/>
    <xf numFmtId="0" fontId="5" fillId="0" borderId="3" xfId="1" applyFont="1" applyBorder="1" applyAlignment="1">
      <alignment horizontal="right"/>
    </xf>
    <xf numFmtId="3" fontId="8" fillId="0" borderId="6" xfId="1" applyNumberFormat="1" applyFont="1" applyFill="1" applyBorder="1" applyAlignment="1">
      <alignment vertical="center"/>
    </xf>
    <xf numFmtId="49" fontId="5" fillId="0" borderId="0" xfId="1" applyNumberFormat="1"/>
    <xf numFmtId="168" fontId="14" fillId="0" borderId="1" xfId="1" applyNumberFormat="1" applyFont="1" applyFill="1" applyBorder="1" applyAlignment="1">
      <alignment horizontal="right"/>
    </xf>
    <xf numFmtId="0" fontId="14" fillId="0" borderId="1" xfId="1" applyFont="1" applyFill="1" applyBorder="1" applyAlignment="1">
      <alignment horizontal="left"/>
    </xf>
    <xf numFmtId="0" fontId="14" fillId="0" borderId="2" xfId="1" applyFont="1" applyBorder="1" applyAlignment="1">
      <alignment horizontal="left"/>
    </xf>
    <xf numFmtId="3" fontId="14" fillId="0" borderId="12" xfId="1" applyNumberFormat="1" applyFont="1" applyFill="1" applyBorder="1" applyAlignment="1">
      <alignment horizontal="right"/>
    </xf>
    <xf numFmtId="0" fontId="5" fillId="0" borderId="0" xfId="1" applyFont="1"/>
    <xf numFmtId="0" fontId="14" fillId="0" borderId="3" xfId="1" applyFont="1" applyFill="1" applyBorder="1" applyAlignment="1">
      <alignment horizontal="left"/>
    </xf>
    <xf numFmtId="3" fontId="14" fillId="0" borderId="3" xfId="1" applyNumberFormat="1" applyFont="1" applyFill="1" applyBorder="1" applyAlignment="1">
      <alignment horizontal="right"/>
    </xf>
    <xf numFmtId="3" fontId="14" fillId="0" borderId="2" xfId="1" quotePrefix="1" applyNumberFormat="1" applyFont="1" applyFill="1" applyBorder="1" applyAlignment="1">
      <alignment horizontal="right"/>
    </xf>
    <xf numFmtId="0" fontId="14" fillId="0" borderId="12" xfId="1" applyFont="1" applyBorder="1" applyAlignment="1">
      <alignment horizontal="left"/>
    </xf>
    <xf numFmtId="0" fontId="15" fillId="0" borderId="0" xfId="0" applyFont="1" applyFill="1"/>
    <xf numFmtId="0" fontId="14" fillId="0" borderId="0" xfId="8" applyFont="1" applyFill="1"/>
    <xf numFmtId="0" fontId="14" fillId="0" borderId="7" xfId="8" applyFont="1" applyFill="1" applyBorder="1"/>
    <xf numFmtId="0" fontId="14" fillId="0" borderId="2" xfId="0" applyFont="1" applyFill="1" applyBorder="1"/>
    <xf numFmtId="0" fontId="8" fillId="0" borderId="3" xfId="1" applyFont="1" applyFill="1" applyBorder="1" applyAlignment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wrapText="1"/>
    </xf>
    <xf numFmtId="0" fontId="8" fillId="0" borderId="0" xfId="0" applyFont="1" applyFill="1" applyBorder="1"/>
    <xf numFmtId="0" fontId="17" fillId="0" borderId="0" xfId="0" applyFont="1" applyFill="1" applyBorder="1" applyAlignment="1">
      <alignment horizontal="left"/>
    </xf>
    <xf numFmtId="3" fontId="17" fillId="0" borderId="0" xfId="0" applyNumberFormat="1" applyFont="1" applyFill="1" applyBorder="1"/>
    <xf numFmtId="0" fontId="8" fillId="0" borderId="1" xfId="0" applyFont="1" applyFill="1" applyBorder="1" applyAlignment="1">
      <alignment horizontal="left" wrapText="1" indent="1"/>
    </xf>
    <xf numFmtId="0" fontId="14" fillId="0" borderId="2" xfId="0" applyFont="1" applyFill="1" applyBorder="1" applyAlignment="1">
      <alignment horizontal="left" wrapText="1" indent="1"/>
    </xf>
    <xf numFmtId="3" fontId="14" fillId="0" borderId="2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left"/>
    </xf>
    <xf numFmtId="0" fontId="15" fillId="0" borderId="0" xfId="1" applyFont="1" applyFill="1" applyAlignment="1"/>
    <xf numFmtId="0" fontId="15" fillId="0" borderId="0" xfId="0" applyFont="1" applyFill="1" applyAlignment="1"/>
    <xf numFmtId="0" fontId="15" fillId="0" borderId="0" xfId="0" applyFont="1" applyFill="1" applyAlignment="1">
      <alignment horizontal="left" wrapText="1"/>
    </xf>
    <xf numFmtId="0" fontId="8" fillId="0" borderId="3" xfId="1" applyFont="1" applyFill="1" applyBorder="1"/>
    <xf numFmtId="3" fontId="8" fillId="0" borderId="1" xfId="1" applyNumberFormat="1" applyFont="1" applyFill="1" applyBorder="1"/>
    <xf numFmtId="168" fontId="8" fillId="0" borderId="12" xfId="0" applyNumberFormat="1" applyFont="1" applyFill="1" applyBorder="1" applyAlignment="1">
      <alignment horizontal="right"/>
    </xf>
    <xf numFmtId="168" fontId="8" fillId="0" borderId="12" xfId="0" applyNumberFormat="1" applyFont="1" applyFill="1" applyBorder="1"/>
    <xf numFmtId="168" fontId="14" fillId="0" borderId="13" xfId="0" applyNumberFormat="1" applyFont="1" applyFill="1" applyBorder="1"/>
    <xf numFmtId="168" fontId="8" fillId="0" borderId="1" xfId="0" applyNumberFormat="1" applyFont="1" applyFill="1" applyBorder="1" applyAlignment="1">
      <alignment horizontal="right"/>
    </xf>
    <xf numFmtId="168" fontId="8" fillId="0" borderId="1" xfId="0" applyNumberFormat="1" applyFont="1" applyFill="1" applyBorder="1"/>
    <xf numFmtId="168" fontId="20" fillId="0" borderId="1" xfId="1" applyNumberFormat="1" applyFont="1" applyFill="1" applyBorder="1" applyAlignment="1">
      <alignment horizontal="right"/>
    </xf>
    <xf numFmtId="168" fontId="17" fillId="0" borderId="4" xfId="0" applyNumberFormat="1" applyFont="1" applyFill="1" applyBorder="1" applyAlignment="1">
      <alignment horizontal="right"/>
    </xf>
    <xf numFmtId="168" fontId="17" fillId="0" borderId="12" xfId="0" applyNumberFormat="1" applyFont="1" applyFill="1" applyBorder="1"/>
    <xf numFmtId="168" fontId="13" fillId="0" borderId="1" xfId="0" applyNumberFormat="1" applyFont="1" applyFill="1" applyBorder="1" applyAlignment="1">
      <alignment horizontal="right"/>
    </xf>
    <xf numFmtId="168" fontId="17" fillId="0" borderId="2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0" fontId="20" fillId="0" borderId="12" xfId="1" applyFont="1" applyFill="1" applyBorder="1" applyAlignment="1">
      <alignment horizontal="left" wrapText="1"/>
    </xf>
    <xf numFmtId="168" fontId="20" fillId="0" borderId="12" xfId="1" applyNumberFormat="1" applyFont="1" applyFill="1" applyBorder="1" applyAlignment="1">
      <alignment horizontal="right"/>
    </xf>
    <xf numFmtId="168" fontId="13" fillId="0" borderId="1" xfId="1" applyNumberFormat="1" applyFont="1" applyFill="1" applyBorder="1" applyAlignment="1">
      <alignment horizontal="right"/>
    </xf>
    <xf numFmtId="168" fontId="17" fillId="0" borderId="12" xfId="1" applyNumberFormat="1" applyFont="1" applyFill="1" applyBorder="1" applyAlignment="1">
      <alignment horizontal="right"/>
    </xf>
    <xf numFmtId="168" fontId="17" fillId="0" borderId="2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13" fillId="2" borderId="12" xfId="1" applyFont="1" applyFill="1" applyBorder="1" applyAlignment="1">
      <alignment horizontal="left"/>
    </xf>
    <xf numFmtId="0" fontId="13" fillId="2" borderId="12" xfId="1" applyFont="1" applyFill="1" applyBorder="1" applyAlignment="1"/>
    <xf numFmtId="0" fontId="13" fillId="2" borderId="12" xfId="1" applyFont="1" applyFill="1" applyBorder="1" applyAlignment="1">
      <alignment wrapText="1"/>
    </xf>
    <xf numFmtId="0" fontId="1" fillId="0" borderId="0" xfId="6" applyFont="1"/>
    <xf numFmtId="0" fontId="19" fillId="0" borderId="12" xfId="0" applyFont="1" applyFill="1" applyBorder="1" applyAlignment="1">
      <alignment horizontal="left" indent="2"/>
    </xf>
    <xf numFmtId="0" fontId="8" fillId="0" borderId="12" xfId="0" applyFont="1" applyFill="1" applyBorder="1" applyAlignment="1">
      <alignment horizontal="left" indent="1"/>
    </xf>
    <xf numFmtId="3" fontId="8" fillId="0" borderId="12" xfId="0" applyNumberFormat="1" applyFont="1" applyFill="1" applyBorder="1"/>
    <xf numFmtId="0" fontId="14" fillId="0" borderId="12" xfId="1" applyFont="1" applyFill="1" applyBorder="1"/>
    <xf numFmtId="0" fontId="8" fillId="0" borderId="12" xfId="1" applyFont="1" applyFill="1" applyBorder="1" applyAlignment="1">
      <alignment horizontal="left" indent="1"/>
    </xf>
    <xf numFmtId="0" fontId="8" fillId="0" borderId="12" xfId="1" applyFont="1" applyFill="1" applyBorder="1"/>
    <xf numFmtId="0" fontId="14" fillId="0" borderId="12" xfId="0" applyFont="1" applyFill="1" applyBorder="1" applyAlignment="1">
      <alignment horizontal="left" indent="1"/>
    </xf>
    <xf numFmtId="3" fontId="14" fillId="0" borderId="12" xfId="0" applyNumberFormat="1" applyFont="1" applyFill="1" applyBorder="1" applyAlignment="1">
      <alignment horizontal="right"/>
    </xf>
    <xf numFmtId="3" fontId="14" fillId="0" borderId="12" xfId="0" applyNumberFormat="1" applyFont="1" applyFill="1" applyBorder="1"/>
    <xf numFmtId="0" fontId="8" fillId="0" borderId="15" xfId="0" applyFont="1" applyFill="1" applyBorder="1" applyAlignment="1">
      <alignment horizontal="left" wrapText="1" indent="1"/>
    </xf>
    <xf numFmtId="3" fontId="13" fillId="0" borderId="12" xfId="0" applyNumberFormat="1" applyFont="1" applyFill="1" applyBorder="1" applyAlignment="1">
      <alignment horizontal="right"/>
    </xf>
    <xf numFmtId="0" fontId="17" fillId="0" borderId="12" xfId="1" applyFont="1" applyFill="1" applyBorder="1" applyAlignment="1">
      <alignment horizontal="left" wrapText="1"/>
    </xf>
    <xf numFmtId="3" fontId="17" fillId="0" borderId="12" xfId="1" applyNumberFormat="1" applyFont="1" applyFill="1" applyBorder="1" applyAlignment="1">
      <alignment horizontal="right"/>
    </xf>
    <xf numFmtId="0" fontId="5" fillId="0" borderId="12" xfId="1" applyBorder="1" applyAlignment="1">
      <alignment vertical="center"/>
    </xf>
    <xf numFmtId="0" fontId="8" fillId="0" borderId="12" xfId="0" applyFont="1" applyFill="1" applyBorder="1"/>
    <xf numFmtId="3" fontId="8" fillId="0" borderId="12" xfId="0" applyNumberFormat="1" applyFont="1" applyFill="1" applyBorder="1" applyAlignment="1">
      <alignment horizontal="right"/>
    </xf>
    <xf numFmtId="0" fontId="14" fillId="0" borderId="12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indent="1"/>
    </xf>
    <xf numFmtId="3" fontId="8" fillId="0" borderId="14" xfId="0" applyNumberFormat="1" applyFont="1" applyFill="1" applyBorder="1"/>
    <xf numFmtId="0" fontId="13" fillId="0" borderId="12" xfId="1" applyFont="1" applyFill="1" applyBorder="1" applyAlignment="1">
      <alignment horizontal="left" indent="1"/>
    </xf>
    <xf numFmtId="0" fontId="14" fillId="0" borderId="12" xfId="1" applyFont="1" applyFill="1" applyBorder="1" applyAlignment="1">
      <alignment horizontal="left"/>
    </xf>
    <xf numFmtId="3" fontId="14" fillId="0" borderId="12" xfId="1" applyNumberFormat="1" applyFont="1" applyFill="1" applyBorder="1"/>
    <xf numFmtId="167" fontId="8" fillId="0" borderId="16" xfId="0" applyNumberFormat="1" applyFont="1" applyFill="1" applyBorder="1"/>
    <xf numFmtId="3" fontId="8" fillId="0" borderId="17" xfId="8" applyNumberFormat="1" applyFont="1" applyFill="1" applyBorder="1" applyAlignment="1">
      <alignment horizontal="right"/>
    </xf>
    <xf numFmtId="3" fontId="8" fillId="0" borderId="16" xfId="8" applyNumberFormat="1" applyFont="1" applyFill="1" applyBorder="1" applyAlignment="1">
      <alignment horizontal="right"/>
    </xf>
    <xf numFmtId="3" fontId="8" fillId="0" borderId="18" xfId="8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left" wrapText="1" indent="1"/>
    </xf>
    <xf numFmtId="0" fontId="8" fillId="0" borderId="18" xfId="0" applyFont="1" applyFill="1" applyBorder="1" applyAlignment="1">
      <alignment horizontal="left" wrapText="1" indent="1"/>
    </xf>
    <xf numFmtId="168" fontId="8" fillId="0" borderId="20" xfId="0" applyNumberFormat="1" applyFont="1" applyFill="1" applyBorder="1"/>
    <xf numFmtId="168" fontId="8" fillId="0" borderId="19" xfId="0" applyNumberFormat="1" applyFont="1" applyFill="1" applyBorder="1"/>
    <xf numFmtId="168" fontId="8" fillId="0" borderId="20" xfId="0" applyNumberFormat="1" applyFont="1" applyFill="1" applyBorder="1" applyAlignment="1">
      <alignment horizontal="right"/>
    </xf>
    <xf numFmtId="168" fontId="13" fillId="0" borderId="20" xfId="1" applyNumberFormat="1" applyFont="1" applyFill="1" applyBorder="1" applyAlignment="1">
      <alignment horizontal="right"/>
    </xf>
    <xf numFmtId="0" fontId="20" fillId="0" borderId="19" xfId="1" applyFont="1" applyFill="1" applyBorder="1" applyAlignment="1">
      <alignment horizontal="left" wrapText="1"/>
    </xf>
    <xf numFmtId="168" fontId="20" fillId="0" borderId="20" xfId="1" applyNumberFormat="1" applyFont="1" applyFill="1" applyBorder="1" applyAlignment="1">
      <alignment horizontal="right"/>
    </xf>
    <xf numFmtId="0" fontId="8" fillId="0" borderId="20" xfId="0" applyFont="1" applyFill="1" applyBorder="1" applyAlignment="1">
      <alignment horizontal="left" wrapText="1" indent="2"/>
    </xf>
    <xf numFmtId="168" fontId="13" fillId="0" borderId="20" xfId="0" applyNumberFormat="1" applyFont="1" applyFill="1" applyBorder="1" applyAlignment="1">
      <alignment horizontal="right"/>
    </xf>
    <xf numFmtId="0" fontId="8" fillId="0" borderId="20" xfId="0" applyFont="1" applyFill="1" applyBorder="1" applyAlignment="1">
      <alignment horizontal="left" wrapText="1" indent="1"/>
    </xf>
    <xf numFmtId="3" fontId="8" fillId="0" borderId="20" xfId="0" quotePrefix="1" applyNumberFormat="1" applyFont="1" applyFill="1" applyBorder="1" applyAlignment="1">
      <alignment horizontal="right"/>
    </xf>
    <xf numFmtId="3" fontId="8" fillId="0" borderId="20" xfId="0" applyNumberFormat="1" applyFont="1" applyFill="1" applyBorder="1" applyAlignment="1">
      <alignment horizontal="right"/>
    </xf>
    <xf numFmtId="0" fontId="13" fillId="0" borderId="20" xfId="0" applyFont="1" applyFill="1" applyBorder="1" applyAlignment="1">
      <alignment horizontal="left" wrapText="1" indent="1"/>
    </xf>
    <xf numFmtId="3" fontId="13" fillId="0" borderId="20" xfId="0" applyNumberFormat="1" applyFont="1" applyFill="1" applyBorder="1" applyAlignment="1">
      <alignment horizontal="right"/>
    </xf>
    <xf numFmtId="3" fontId="8" fillId="0" borderId="19" xfId="0" applyNumberFormat="1" applyFont="1" applyFill="1" applyBorder="1" applyAlignment="1">
      <alignment horizontal="right"/>
    </xf>
    <xf numFmtId="168" fontId="13" fillId="0" borderId="20" xfId="0" quotePrefix="1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left" wrapText="1" indent="2"/>
    </xf>
    <xf numFmtId="0" fontId="13" fillId="0" borderId="20" xfId="0" applyFont="1" applyFill="1" applyBorder="1" applyAlignment="1">
      <alignment horizontal="left" wrapText="1" indent="2"/>
    </xf>
    <xf numFmtId="0" fontId="8" fillId="0" borderId="20" xfId="1" applyFont="1" applyBorder="1" applyAlignment="1">
      <alignment horizontal="left" indent="1"/>
    </xf>
    <xf numFmtId="3" fontId="8" fillId="0" borderId="20" xfId="1" applyNumberFormat="1" applyFont="1" applyFill="1" applyBorder="1" applyAlignment="1">
      <alignment horizontal="right"/>
    </xf>
    <xf numFmtId="0" fontId="5" fillId="0" borderId="20" xfId="1" applyBorder="1"/>
    <xf numFmtId="3" fontId="14" fillId="0" borderId="20" xfId="1" applyNumberFormat="1" applyFont="1" applyFill="1" applyBorder="1" applyAlignment="1">
      <alignment horizontal="right"/>
    </xf>
    <xf numFmtId="0" fontId="8" fillId="0" borderId="20" xfId="1" applyFont="1" applyFill="1" applyBorder="1" applyAlignment="1">
      <alignment horizontal="left" indent="1"/>
    </xf>
    <xf numFmtId="168" fontId="8" fillId="0" borderId="20" xfId="1" applyNumberFormat="1" applyFont="1" applyFill="1" applyBorder="1" applyAlignment="1">
      <alignment horizontal="right"/>
    </xf>
    <xf numFmtId="3" fontId="8" fillId="0" borderId="20" xfId="1" applyNumberFormat="1" applyFont="1" applyFill="1" applyBorder="1"/>
    <xf numFmtId="0" fontId="8" fillId="0" borderId="20" xfId="0" applyFont="1" applyFill="1" applyBorder="1"/>
    <xf numFmtId="0" fontId="19" fillId="0" borderId="20" xfId="0" applyFont="1" applyFill="1" applyBorder="1" applyAlignment="1">
      <alignment horizontal="left" indent="1"/>
    </xf>
    <xf numFmtId="3" fontId="19" fillId="0" borderId="20" xfId="0" applyNumberFormat="1" applyFont="1" applyFill="1" applyBorder="1" applyAlignment="1">
      <alignment horizontal="right"/>
    </xf>
    <xf numFmtId="0" fontId="18" fillId="0" borderId="20" xfId="0" applyFont="1" applyFill="1" applyBorder="1" applyAlignment="1">
      <alignment horizontal="left" indent="1"/>
    </xf>
    <xf numFmtId="3" fontId="18" fillId="0" borderId="20" xfId="0" applyNumberFormat="1" applyFont="1" applyFill="1" applyBorder="1"/>
    <xf numFmtId="0" fontId="13" fillId="0" borderId="20" xfId="0" applyFont="1" applyFill="1" applyBorder="1" applyAlignment="1">
      <alignment horizontal="left" indent="2"/>
    </xf>
    <xf numFmtId="0" fontId="13" fillId="0" borderId="20" xfId="0" applyFont="1" applyFill="1" applyBorder="1" applyAlignment="1">
      <alignment horizontal="right"/>
    </xf>
    <xf numFmtId="3" fontId="13" fillId="0" borderId="20" xfId="0" applyNumberFormat="1" applyFont="1" applyFill="1" applyBorder="1"/>
    <xf numFmtId="0" fontId="8" fillId="0" borderId="20" xfId="0" applyFont="1" applyFill="1" applyBorder="1" applyAlignment="1">
      <alignment horizontal="left" indent="1"/>
    </xf>
    <xf numFmtId="3" fontId="8" fillId="0" borderId="20" xfId="0" applyNumberFormat="1" applyFont="1" applyFill="1" applyBorder="1"/>
    <xf numFmtId="0" fontId="8" fillId="0" borderId="19" xfId="0" applyFont="1" applyFill="1" applyBorder="1" applyAlignment="1">
      <alignment horizontal="left" indent="1"/>
    </xf>
    <xf numFmtId="3" fontId="8" fillId="0" borderId="19" xfId="0" applyNumberFormat="1" applyFont="1" applyFill="1" applyBorder="1"/>
    <xf numFmtId="0" fontId="17" fillId="0" borderId="20" xfId="1" applyFont="1" applyFill="1" applyBorder="1" applyAlignment="1">
      <alignment horizontal="left" wrapText="1" indent="1"/>
    </xf>
    <xf numFmtId="3" fontId="17" fillId="0" borderId="20" xfId="1" applyNumberFormat="1" applyFont="1" applyFill="1" applyBorder="1" applyAlignment="1">
      <alignment horizontal="right"/>
    </xf>
    <xf numFmtId="0" fontId="13" fillId="0" borderId="20" xfId="1" applyFont="1" applyFill="1" applyBorder="1" applyAlignment="1">
      <alignment horizontal="left" wrapText="1" indent="2"/>
    </xf>
    <xf numFmtId="3" fontId="13" fillId="0" borderId="20" xfId="1" applyNumberFormat="1" applyFont="1" applyFill="1" applyBorder="1" applyAlignment="1">
      <alignment horizontal="right"/>
    </xf>
    <xf numFmtId="0" fontId="13" fillId="0" borderId="20" xfId="1" applyFont="1" applyFill="1" applyBorder="1" applyAlignment="1">
      <alignment horizontal="left" indent="2"/>
    </xf>
    <xf numFmtId="0" fontId="13" fillId="0" borderId="20" xfId="1" applyFont="1" applyFill="1" applyBorder="1" applyAlignment="1">
      <alignment horizontal="right"/>
    </xf>
    <xf numFmtId="0" fontId="17" fillId="0" borderId="20" xfId="1" applyFont="1" applyFill="1" applyBorder="1" applyAlignment="1">
      <alignment horizontal="left" indent="1"/>
    </xf>
    <xf numFmtId="0" fontId="13" fillId="0" borderId="20" xfId="1" applyFont="1" applyFill="1" applyBorder="1" applyAlignment="1">
      <alignment horizontal="left" indent="1"/>
    </xf>
    <xf numFmtId="0" fontId="13" fillId="0" borderId="19" xfId="1" applyFont="1" applyFill="1" applyBorder="1" applyAlignment="1">
      <alignment horizontal="left" indent="1"/>
    </xf>
    <xf numFmtId="3" fontId="13" fillId="0" borderId="19" xfId="1" applyNumberFormat="1" applyFont="1" applyFill="1" applyBorder="1" applyAlignment="1">
      <alignment horizontal="right"/>
    </xf>
    <xf numFmtId="3" fontId="8" fillId="0" borderId="19" xfId="1" applyNumberFormat="1" applyFont="1" applyFill="1" applyBorder="1" applyAlignment="1">
      <alignment horizontal="right"/>
    </xf>
    <xf numFmtId="0" fontId="14" fillId="0" borderId="20" xfId="1" applyFont="1" applyFill="1" applyBorder="1" applyAlignment="1">
      <alignment horizontal="left"/>
    </xf>
    <xf numFmtId="3" fontId="14" fillId="0" borderId="20" xfId="1" applyNumberFormat="1" applyFont="1" applyFill="1" applyBorder="1"/>
    <xf numFmtId="0" fontId="8" fillId="0" borderId="19" xfId="1" applyFont="1" applyFill="1" applyBorder="1" applyAlignment="1">
      <alignment horizontal="left" indent="1"/>
    </xf>
    <xf numFmtId="3" fontId="8" fillId="0" borderId="19" xfId="1" applyNumberFormat="1" applyFont="1" applyFill="1" applyBorder="1"/>
    <xf numFmtId="3" fontId="13" fillId="0" borderId="20" xfId="0" applyNumberFormat="1" applyFont="1" applyFill="1" applyBorder="1" applyAlignment="1">
      <alignment horizontal="right" vertical="top" wrapText="1"/>
    </xf>
    <xf numFmtId="0" fontId="13" fillId="0" borderId="20" xfId="0" applyFont="1" applyFill="1" applyBorder="1" applyAlignment="1">
      <alignment horizontal="right" vertical="top" wrapText="1"/>
    </xf>
    <xf numFmtId="0" fontId="19" fillId="0" borderId="20" xfId="1" applyFont="1" applyFill="1" applyBorder="1" applyAlignment="1">
      <alignment horizontal="left" indent="2"/>
    </xf>
    <xf numFmtId="3" fontId="20" fillId="0" borderId="20" xfId="0" applyNumberFormat="1" applyFont="1" applyFill="1" applyBorder="1" applyAlignment="1">
      <alignment horizontal="right" vertical="top" wrapText="1"/>
    </xf>
    <xf numFmtId="0" fontId="20" fillId="0" borderId="20" xfId="0" applyFont="1" applyFill="1" applyBorder="1" applyAlignment="1">
      <alignment horizontal="right" vertical="top" wrapText="1"/>
    </xf>
    <xf numFmtId="3" fontId="20" fillId="0" borderId="19" xfId="0" applyNumberFormat="1" applyFont="1" applyFill="1" applyBorder="1" applyAlignment="1">
      <alignment horizontal="right" vertical="top" wrapText="1"/>
    </xf>
    <xf numFmtId="165" fontId="8" fillId="0" borderId="20" xfId="7" applyNumberFormat="1" applyFont="1" applyFill="1" applyBorder="1"/>
    <xf numFmtId="165" fontId="8" fillId="0" borderId="20" xfId="7" applyNumberFormat="1" applyFont="1" applyFill="1" applyBorder="1" applyAlignment="1">
      <alignment horizontal="right"/>
    </xf>
    <xf numFmtId="3" fontId="19" fillId="0" borderId="20" xfId="0" applyNumberFormat="1" applyFont="1" applyFill="1" applyBorder="1"/>
    <xf numFmtId="0" fontId="19" fillId="0" borderId="20" xfId="0" applyFont="1" applyFill="1" applyBorder="1" applyAlignment="1">
      <alignment horizontal="left" indent="2"/>
    </xf>
    <xf numFmtId="0" fontId="8" fillId="0" borderId="20" xfId="1" applyFont="1" applyFill="1" applyBorder="1"/>
    <xf numFmtId="0" fontId="1" fillId="0" borderId="20" xfId="6" applyFont="1" applyBorder="1" applyAlignment="1">
      <alignment horizontal="left"/>
    </xf>
    <xf numFmtId="0" fontId="1" fillId="0" borderId="20" xfId="6" applyFont="1" applyBorder="1"/>
    <xf numFmtId="0" fontId="8" fillId="0" borderId="20" xfId="0" applyFont="1" applyFill="1" applyBorder="1" applyAlignment="1">
      <alignment horizontal="left" vertical="top" wrapText="1" indent="1"/>
    </xf>
    <xf numFmtId="3" fontId="8" fillId="0" borderId="20" xfId="0" applyNumberFormat="1" applyFont="1" applyFill="1" applyBorder="1" applyAlignment="1">
      <alignment vertical="top"/>
    </xf>
    <xf numFmtId="3" fontId="8" fillId="0" borderId="20" xfId="0" applyNumberFormat="1" applyFont="1" applyFill="1" applyBorder="1" applyAlignment="1">
      <alignment horizontal="right" vertical="top"/>
    </xf>
    <xf numFmtId="0" fontId="8" fillId="0" borderId="20" xfId="0" applyFont="1" applyBorder="1" applyAlignment="1">
      <alignment horizontal="left" indent="1"/>
    </xf>
    <xf numFmtId="3" fontId="8" fillId="0" borderId="20" xfId="0" applyNumberFormat="1" applyFont="1" applyBorder="1"/>
    <xf numFmtId="3" fontId="8" fillId="0" borderId="20" xfId="0" applyNumberFormat="1" applyFont="1" applyBorder="1" applyAlignment="1">
      <alignment horizontal="right"/>
    </xf>
    <xf numFmtId="166" fontId="8" fillId="0" borderId="20" xfId="0" applyNumberFormat="1" applyFont="1" applyBorder="1"/>
    <xf numFmtId="166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2" fontId="8" fillId="0" borderId="20" xfId="0" applyNumberFormat="1" applyFont="1" applyBorder="1" applyAlignment="1">
      <alignment horizontal="right"/>
    </xf>
    <xf numFmtId="164" fontId="8" fillId="0" borderId="20" xfId="0" applyNumberFormat="1" applyFont="1" applyBorder="1"/>
    <xf numFmtId="164" fontId="8" fillId="0" borderId="20" xfId="0" applyNumberFormat="1" applyFont="1" applyBorder="1" applyAlignment="1">
      <alignment horizontal="right"/>
    </xf>
    <xf numFmtId="0" fontId="8" fillId="0" borderId="20" xfId="0" applyFont="1" applyFill="1" applyBorder="1" applyAlignment="1">
      <alignment horizontal="left" indent="2"/>
    </xf>
    <xf numFmtId="0" fontId="8" fillId="0" borderId="14" xfId="0" applyFont="1" applyFill="1" applyBorder="1" applyAlignment="1">
      <alignment horizontal="left" vertical="top" wrapText="1" indent="1"/>
    </xf>
    <xf numFmtId="3" fontId="8" fillId="0" borderId="14" xfId="0" applyNumberFormat="1" applyFont="1" applyFill="1" applyBorder="1" applyAlignment="1">
      <alignment vertical="top"/>
    </xf>
    <xf numFmtId="0" fontId="8" fillId="0" borderId="14" xfId="1" applyFont="1" applyFill="1" applyBorder="1" applyAlignment="1">
      <alignment horizontal="left" indent="1"/>
    </xf>
    <xf numFmtId="0" fontId="8" fillId="0" borderId="14" xfId="1" applyFont="1" applyFill="1" applyBorder="1"/>
    <xf numFmtId="3" fontId="24" fillId="0" borderId="20" xfId="0" applyNumberFormat="1" applyFont="1" applyFill="1" applyBorder="1" applyAlignment="1">
      <alignment horizontal="right"/>
    </xf>
    <xf numFmtId="0" fontId="8" fillId="0" borderId="12" xfId="1" applyFont="1" applyFill="1" applyBorder="1" applyAlignment="1">
      <alignment horizontal="right"/>
    </xf>
    <xf numFmtId="165" fontId="8" fillId="0" borderId="12" xfId="7" applyNumberFormat="1" applyFont="1" applyFill="1" applyBorder="1"/>
    <xf numFmtId="166" fontId="8" fillId="0" borderId="1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wrapText="1" indent="1"/>
    </xf>
    <xf numFmtId="0" fontId="8" fillId="0" borderId="0" xfId="2" applyFont="1" applyFill="1" applyAlignment="1">
      <alignment horizontal="right" wrapText="1"/>
    </xf>
    <xf numFmtId="3" fontId="14" fillId="0" borderId="1" xfId="1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 wrapText="1"/>
    </xf>
  </cellXfs>
  <cellStyles count="10">
    <cellStyle name="Enllaç 2" xfId="5"/>
    <cellStyle name="No-definido" xfId="3"/>
    <cellStyle name="Normal" xfId="0" builtinId="0"/>
    <cellStyle name="Normal 2" xfId="1"/>
    <cellStyle name="Normal 3" xfId="2"/>
    <cellStyle name="Normal 4" xfId="4"/>
    <cellStyle name="Normal 4 2" xfId="6"/>
    <cellStyle name="Normal_Fitxa 10 plantilla organica adscrita a jutjats i tribunals" xfId="8"/>
    <cellStyle name="Percentatge" xfId="9" builtinId="5"/>
    <cellStyle name="Porcentaje 2" xfId="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1025" name="Object 1" descr="&quot;&quot;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6656670c\Downloads\C&#242;pia%20de%202016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5:E21"/>
  <sheetViews>
    <sheetView showGridLines="0" tabSelected="1" workbookViewId="0"/>
  </sheetViews>
  <sheetFormatPr defaultColWidth="9.109375" defaultRowHeight="14.4" x14ac:dyDescent="0.3"/>
  <cols>
    <col min="1" max="1" width="4.6640625" style="2" customWidth="1"/>
    <col min="2" max="2" width="9.88671875" style="2" bestFit="1" customWidth="1"/>
    <col min="3" max="3" width="75.6640625" style="2" customWidth="1"/>
    <col min="4" max="4" width="12.6640625" style="2" customWidth="1"/>
    <col min="5" max="5" width="15.6640625" style="2" customWidth="1"/>
    <col min="6" max="16384" width="9.109375" style="2"/>
  </cols>
  <sheetData>
    <row r="5" spans="2:5" x14ac:dyDescent="0.3">
      <c r="B5" s="6" t="s">
        <v>0</v>
      </c>
      <c r="C5" s="4"/>
      <c r="D5" s="4"/>
      <c r="E5" s="4"/>
    </row>
    <row r="6" spans="2:5" ht="17.399999999999999" x14ac:dyDescent="0.35">
      <c r="B6" s="5" t="s">
        <v>1</v>
      </c>
      <c r="C6" s="4"/>
      <c r="D6" s="4"/>
      <c r="E6" s="4"/>
    </row>
    <row r="8" spans="2:5" ht="28.8" x14ac:dyDescent="0.3">
      <c r="B8" s="189" t="s">
        <v>2</v>
      </c>
      <c r="C8" s="190" t="s">
        <v>3</v>
      </c>
      <c r="D8" s="191" t="s">
        <v>4</v>
      </c>
      <c r="E8" s="191" t="s">
        <v>5</v>
      </c>
    </row>
    <row r="9" spans="2:5" x14ac:dyDescent="0.3">
      <c r="B9" s="283">
        <v>1</v>
      </c>
      <c r="C9" s="284" t="str">
        <f>'Pàg. 1'!B2</f>
        <v>Indicadors principals de l'Administració de justícia a Catalunya</v>
      </c>
      <c r="D9" s="284" t="s">
        <v>6</v>
      </c>
      <c r="E9" s="284" t="s">
        <v>7</v>
      </c>
    </row>
    <row r="10" spans="2:5" x14ac:dyDescent="0.3">
      <c r="B10" s="283">
        <v>2</v>
      </c>
      <c r="C10" s="284" t="str">
        <f>'Pàg. 2'!B2</f>
        <v>Estructura judicial</v>
      </c>
      <c r="D10" s="284" t="s">
        <v>8</v>
      </c>
      <c r="E10" s="284" t="s">
        <v>9</v>
      </c>
    </row>
    <row r="11" spans="2:5" x14ac:dyDescent="0.3">
      <c r="B11" s="283">
        <v>3</v>
      </c>
      <c r="C11" s="284" t="str">
        <f>'Pàg. 3'!B2</f>
        <v>Activitat judicial: assumptes i execucions</v>
      </c>
      <c r="D11" s="284" t="s">
        <v>8</v>
      </c>
      <c r="E11" s="284" t="s">
        <v>10</v>
      </c>
    </row>
    <row r="12" spans="2:5" x14ac:dyDescent="0.3">
      <c r="B12" s="283">
        <v>4</v>
      </c>
      <c r="C12" s="284" t="str">
        <f>'Pàg. 4'!B2</f>
        <v xml:space="preserve">Activitat dels registres civils </v>
      </c>
      <c r="D12" s="284" t="s">
        <v>8</v>
      </c>
      <c r="E12" s="284" t="s">
        <v>11</v>
      </c>
    </row>
    <row r="13" spans="2:5" x14ac:dyDescent="0.3">
      <c r="B13" s="283">
        <v>5</v>
      </c>
      <c r="C13" s="284" t="str">
        <f>Pàg.5!B2</f>
        <v>Recursos de l'Administració de justícia</v>
      </c>
      <c r="D13" s="284" t="s">
        <v>6</v>
      </c>
      <c r="E13" s="284" t="s">
        <v>12</v>
      </c>
    </row>
    <row r="14" spans="2:5" x14ac:dyDescent="0.3">
      <c r="B14" s="283">
        <v>6</v>
      </c>
      <c r="C14" s="284" t="str">
        <f>'Pàg. 6'!B2</f>
        <v>Modernització de l'Administració de justícia</v>
      </c>
      <c r="D14" s="284" t="s">
        <v>6</v>
      </c>
      <c r="E14" s="284" t="s">
        <v>13</v>
      </c>
    </row>
    <row r="15" spans="2:5" x14ac:dyDescent="0.3">
      <c r="B15" s="283">
        <v>7</v>
      </c>
      <c r="C15" s="192" t="str">
        <f>'Pàg. 7'!B2</f>
        <v>Medicina legal i ciències forenses</v>
      </c>
      <c r="D15" s="284" t="s">
        <v>6</v>
      </c>
      <c r="E15" s="284" t="s">
        <v>14</v>
      </c>
    </row>
    <row r="16" spans="2:5" x14ac:dyDescent="0.3">
      <c r="B16" s="283">
        <v>8</v>
      </c>
      <c r="C16" s="284" t="str">
        <f>'Pàg. 8'!B2</f>
        <v>Serveis de justícia gratuïta</v>
      </c>
      <c r="D16" s="284" t="s">
        <v>8</v>
      </c>
      <c r="E16" s="284" t="s">
        <v>15</v>
      </c>
    </row>
    <row r="17" spans="2:5" x14ac:dyDescent="0.3">
      <c r="B17" s="283">
        <v>9</v>
      </c>
      <c r="C17" s="284" t="str">
        <f>'Pàg. 9'!B2</f>
        <v>Serveis de suport a l'activitat judicial</v>
      </c>
      <c r="D17" s="284" t="s">
        <v>8</v>
      </c>
      <c r="E17" s="284" t="s">
        <v>16</v>
      </c>
    </row>
    <row r="18" spans="2:5" x14ac:dyDescent="0.3">
      <c r="B18" s="283">
        <v>10</v>
      </c>
      <c r="C18" s="284" t="str">
        <f>'Pàg. 10'!B2</f>
        <v>Ús del català a la justícia</v>
      </c>
      <c r="D18" s="284" t="s">
        <v>8</v>
      </c>
      <c r="E18" s="284" t="s">
        <v>17</v>
      </c>
    </row>
    <row r="21" spans="2:5" x14ac:dyDescent="0.3">
      <c r="B21" s="192" t="s">
        <v>18</v>
      </c>
      <c r="C21" s="3" t="s">
        <v>19</v>
      </c>
      <c r="D21" s="192"/>
      <c r="E21" s="192"/>
    </row>
  </sheetData>
  <hyperlinks>
    <hyperlink ref="C21" r:id="rId1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B2:L91"/>
  <sheetViews>
    <sheetView zoomScaleNormal="100" workbookViewId="0"/>
  </sheetViews>
  <sheetFormatPr defaultColWidth="9.109375" defaultRowHeight="14.4" x14ac:dyDescent="0.3"/>
  <cols>
    <col min="1" max="1" width="9.109375" style="1" customWidth="1"/>
    <col min="2" max="2" width="58.6640625" style="1" customWidth="1"/>
    <col min="3" max="12" width="11.6640625" style="1" customWidth="1"/>
    <col min="13" max="16384" width="9.109375" style="1"/>
  </cols>
  <sheetData>
    <row r="2" spans="2:12" ht="17.399999999999999" x14ac:dyDescent="0.35">
      <c r="B2" s="157" t="s">
        <v>336</v>
      </c>
    </row>
    <row r="3" spans="2:12" x14ac:dyDescent="0.3">
      <c r="B3" s="39"/>
    </row>
    <row r="4" spans="2:12" x14ac:dyDescent="0.3">
      <c r="B4" s="39"/>
    </row>
    <row r="5" spans="2:12" x14ac:dyDescent="0.3">
      <c r="B5" s="39" t="s">
        <v>337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28.8" x14ac:dyDescent="0.3">
      <c r="B6" s="56"/>
      <c r="C6" s="7"/>
      <c r="D6" s="7"/>
      <c r="E6" s="7"/>
      <c r="F6" s="7"/>
      <c r="G6" s="7"/>
      <c r="H6" s="7"/>
      <c r="I6" s="7"/>
      <c r="J6" s="38"/>
      <c r="K6" s="37"/>
      <c r="L6" s="310" t="s">
        <v>338</v>
      </c>
    </row>
    <row r="7" spans="2:12" ht="15" thickBot="1" x14ac:dyDescent="0.35">
      <c r="B7" s="59"/>
      <c r="C7" s="16">
        <v>2010</v>
      </c>
      <c r="D7" s="16">
        <v>2011</v>
      </c>
      <c r="E7" s="16">
        <v>2012</v>
      </c>
      <c r="F7" s="16">
        <v>2013</v>
      </c>
      <c r="G7" s="16">
        <v>2014</v>
      </c>
      <c r="H7" s="16">
        <v>2015</v>
      </c>
      <c r="I7" s="16">
        <v>2016</v>
      </c>
      <c r="J7" s="16">
        <v>2017</v>
      </c>
      <c r="K7" s="16">
        <v>2018</v>
      </c>
      <c r="L7" s="16">
        <v>2019</v>
      </c>
    </row>
    <row r="8" spans="2:12" x14ac:dyDescent="0.3">
      <c r="B8" s="209" t="s">
        <v>339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2:12" x14ac:dyDescent="0.3">
      <c r="B9" s="253" t="s">
        <v>205</v>
      </c>
      <c r="C9" s="254">
        <v>183975</v>
      </c>
      <c r="D9" s="254">
        <v>171419</v>
      </c>
      <c r="E9" s="254">
        <v>197140</v>
      </c>
      <c r="F9" s="254">
        <v>184001</v>
      </c>
      <c r="G9" s="254">
        <v>216522</v>
      </c>
      <c r="H9" s="254">
        <v>226334</v>
      </c>
      <c r="I9" s="254">
        <v>237629</v>
      </c>
      <c r="J9" s="254">
        <v>251416</v>
      </c>
      <c r="K9" s="254">
        <v>255577</v>
      </c>
      <c r="L9" s="254">
        <v>257374</v>
      </c>
    </row>
    <row r="10" spans="2:12" x14ac:dyDescent="0.3">
      <c r="B10" s="253" t="s">
        <v>204</v>
      </c>
      <c r="C10" s="254">
        <v>304882</v>
      </c>
      <c r="D10" s="254">
        <v>325883</v>
      </c>
      <c r="E10" s="254">
        <v>347770</v>
      </c>
      <c r="F10" s="254">
        <v>372998</v>
      </c>
      <c r="G10" s="254">
        <v>395924</v>
      </c>
      <c r="H10" s="254">
        <v>340416</v>
      </c>
      <c r="I10" s="254">
        <v>347134</v>
      </c>
      <c r="J10" s="254">
        <v>360731</v>
      </c>
      <c r="K10" s="254">
        <v>373189</v>
      </c>
      <c r="L10" s="254">
        <v>379840</v>
      </c>
    </row>
    <row r="11" spans="2:12" x14ac:dyDescent="0.3">
      <c r="B11" s="253" t="s">
        <v>55</v>
      </c>
      <c r="C11" s="254">
        <v>79201</v>
      </c>
      <c r="D11" s="254">
        <v>88725</v>
      </c>
      <c r="E11" s="254">
        <v>81880</v>
      </c>
      <c r="F11" s="254">
        <v>119697</v>
      </c>
      <c r="G11" s="254">
        <v>131576</v>
      </c>
      <c r="H11" s="254">
        <v>77385</v>
      </c>
      <c r="I11" s="254">
        <v>72683</v>
      </c>
      <c r="J11" s="254">
        <v>66492</v>
      </c>
      <c r="K11" s="254">
        <v>101332</v>
      </c>
      <c r="L11" s="254">
        <v>113690</v>
      </c>
    </row>
    <row r="12" spans="2:12" x14ac:dyDescent="0.3">
      <c r="B12" s="253" t="s">
        <v>56</v>
      </c>
      <c r="C12" s="254">
        <v>45972</v>
      </c>
      <c r="D12" s="254">
        <v>53220</v>
      </c>
      <c r="E12" s="254">
        <v>15819</v>
      </c>
      <c r="F12" s="254">
        <v>37700</v>
      </c>
      <c r="G12" s="254">
        <v>46784</v>
      </c>
      <c r="H12" s="254">
        <v>41087</v>
      </c>
      <c r="I12" s="254">
        <v>50232</v>
      </c>
      <c r="J12" s="254">
        <v>52334</v>
      </c>
      <c r="K12" s="254">
        <v>55589</v>
      </c>
      <c r="L12" s="254">
        <v>77900</v>
      </c>
    </row>
    <row r="13" spans="2:12" x14ac:dyDescent="0.3">
      <c r="B13" s="255" t="s">
        <v>57</v>
      </c>
      <c r="C13" s="256">
        <v>35642</v>
      </c>
      <c r="D13" s="256">
        <v>35871</v>
      </c>
      <c r="E13" s="256">
        <v>35118</v>
      </c>
      <c r="F13" s="256">
        <v>41735</v>
      </c>
      <c r="G13" s="256">
        <v>46172</v>
      </c>
      <c r="H13" s="256">
        <v>57159</v>
      </c>
      <c r="I13" s="256">
        <v>75194</v>
      </c>
      <c r="J13" s="256">
        <v>78700</v>
      </c>
      <c r="K13" s="256">
        <v>76931</v>
      </c>
      <c r="L13" s="256">
        <v>81831</v>
      </c>
    </row>
    <row r="14" spans="2:12" ht="15" thickBot="1" x14ac:dyDescent="0.35">
      <c r="B14" s="32" t="s">
        <v>58</v>
      </c>
      <c r="C14" s="76" t="s">
        <v>142</v>
      </c>
      <c r="D14" s="76" t="s">
        <v>142</v>
      </c>
      <c r="E14" s="76" t="s">
        <v>142</v>
      </c>
      <c r="F14" s="76" t="s">
        <v>142</v>
      </c>
      <c r="G14" s="76" t="s">
        <v>142</v>
      </c>
      <c r="H14" s="76" t="s">
        <v>142</v>
      </c>
      <c r="I14" s="13">
        <v>17589</v>
      </c>
      <c r="J14" s="13">
        <v>23824</v>
      </c>
      <c r="K14" s="13">
        <v>22697</v>
      </c>
      <c r="L14" s="13">
        <v>18400</v>
      </c>
    </row>
    <row r="15" spans="2:12" x14ac:dyDescent="0.3">
      <c r="B15" s="209" t="s">
        <v>340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</row>
    <row r="16" spans="2:12" x14ac:dyDescent="0.3">
      <c r="B16" s="253" t="s">
        <v>341</v>
      </c>
      <c r="C16" s="254">
        <v>294716</v>
      </c>
      <c r="D16" s="254">
        <v>271516</v>
      </c>
      <c r="E16" s="254">
        <v>291939</v>
      </c>
      <c r="F16" s="254">
        <v>309627</v>
      </c>
      <c r="G16" s="254">
        <v>338202</v>
      </c>
      <c r="H16" s="254">
        <v>319440</v>
      </c>
      <c r="I16" s="254">
        <v>383944</v>
      </c>
      <c r="J16" s="254">
        <v>437625</v>
      </c>
      <c r="K16" s="254">
        <v>487211</v>
      </c>
      <c r="L16" s="254">
        <v>507204</v>
      </c>
    </row>
    <row r="17" spans="2:12" x14ac:dyDescent="0.3">
      <c r="B17" s="253" t="s">
        <v>342</v>
      </c>
      <c r="C17" s="254">
        <v>118897</v>
      </c>
      <c r="D17" s="254">
        <v>130602</v>
      </c>
      <c r="E17" s="254">
        <v>136558</v>
      </c>
      <c r="F17" s="254">
        <v>166378</v>
      </c>
      <c r="G17" s="254">
        <v>199929</v>
      </c>
      <c r="H17" s="254">
        <v>180393</v>
      </c>
      <c r="I17" s="254">
        <v>170362</v>
      </c>
      <c r="J17" s="254">
        <v>168430</v>
      </c>
      <c r="K17" s="254">
        <v>164287</v>
      </c>
      <c r="L17" s="254">
        <v>169120</v>
      </c>
    </row>
    <row r="18" spans="2:12" x14ac:dyDescent="0.3">
      <c r="B18" s="253" t="s">
        <v>343</v>
      </c>
      <c r="C18" s="254">
        <v>72793</v>
      </c>
      <c r="D18" s="254">
        <v>79684</v>
      </c>
      <c r="E18" s="254">
        <v>72485</v>
      </c>
      <c r="F18" s="254">
        <v>87712</v>
      </c>
      <c r="G18" s="254">
        <v>91137</v>
      </c>
      <c r="H18" s="254">
        <v>61924</v>
      </c>
      <c r="I18" s="254">
        <v>68486</v>
      </c>
      <c r="J18" s="254">
        <v>65169</v>
      </c>
      <c r="K18" s="254">
        <v>72533</v>
      </c>
      <c r="L18" s="254">
        <v>72888</v>
      </c>
    </row>
    <row r="19" spans="2:12" x14ac:dyDescent="0.3">
      <c r="B19" s="253" t="s">
        <v>344</v>
      </c>
      <c r="C19" s="254">
        <v>54262</v>
      </c>
      <c r="D19" s="254">
        <v>65550</v>
      </c>
      <c r="E19" s="254">
        <v>53760</v>
      </c>
      <c r="F19" s="254">
        <v>58772</v>
      </c>
      <c r="G19" s="254">
        <v>61871</v>
      </c>
      <c r="H19" s="254">
        <v>56202</v>
      </c>
      <c r="I19" s="254">
        <v>51580</v>
      </c>
      <c r="J19" s="254">
        <v>51735</v>
      </c>
      <c r="K19" s="254">
        <v>53104</v>
      </c>
      <c r="L19" s="254">
        <v>56392</v>
      </c>
    </row>
    <row r="20" spans="2:12" x14ac:dyDescent="0.3">
      <c r="B20" s="253" t="s">
        <v>345</v>
      </c>
      <c r="C20" s="254">
        <v>36762</v>
      </c>
      <c r="D20" s="254">
        <v>38629</v>
      </c>
      <c r="E20" s="254">
        <v>50800</v>
      </c>
      <c r="F20" s="254">
        <v>55587</v>
      </c>
      <c r="G20" s="254">
        <v>59997</v>
      </c>
      <c r="H20" s="254">
        <v>48688</v>
      </c>
      <c r="I20" s="254">
        <v>48136</v>
      </c>
      <c r="J20" s="254">
        <v>39152</v>
      </c>
      <c r="K20" s="254">
        <v>41638</v>
      </c>
      <c r="L20" s="254">
        <v>42814</v>
      </c>
    </row>
    <row r="21" spans="2:12" x14ac:dyDescent="0.3">
      <c r="B21" s="253" t="s">
        <v>346</v>
      </c>
      <c r="C21" s="254">
        <v>26391</v>
      </c>
      <c r="D21" s="254">
        <v>38131</v>
      </c>
      <c r="E21" s="254">
        <v>36599</v>
      </c>
      <c r="F21" s="254">
        <v>41358</v>
      </c>
      <c r="G21" s="254">
        <v>40060</v>
      </c>
      <c r="H21" s="254">
        <v>40080</v>
      </c>
      <c r="I21" s="254">
        <v>42567</v>
      </c>
      <c r="J21" s="254">
        <v>39958</v>
      </c>
      <c r="K21" s="254">
        <v>36239</v>
      </c>
      <c r="L21" s="254">
        <v>48258</v>
      </c>
    </row>
    <row r="22" spans="2:12" x14ac:dyDescent="0.3">
      <c r="B22" s="253" t="s">
        <v>347</v>
      </c>
      <c r="C22" s="254">
        <v>44478</v>
      </c>
      <c r="D22" s="254">
        <v>49809</v>
      </c>
      <c r="E22" s="254">
        <v>33808</v>
      </c>
      <c r="F22" s="254">
        <v>35330</v>
      </c>
      <c r="G22" s="254">
        <v>44524</v>
      </c>
      <c r="H22" s="254">
        <v>34893</v>
      </c>
      <c r="I22" s="254">
        <v>33312</v>
      </c>
      <c r="J22" s="254">
        <v>28814</v>
      </c>
      <c r="K22" s="254">
        <v>29460</v>
      </c>
      <c r="L22" s="254">
        <v>31256</v>
      </c>
    </row>
    <row r="23" spans="2:12" ht="15" thickBot="1" x14ac:dyDescent="0.35">
      <c r="B23" s="32" t="s">
        <v>348</v>
      </c>
      <c r="C23" s="13">
        <v>1373</v>
      </c>
      <c r="D23" s="13">
        <v>1197</v>
      </c>
      <c r="E23" s="13">
        <v>1778</v>
      </c>
      <c r="F23" s="13">
        <v>1367</v>
      </c>
      <c r="G23" s="13">
        <v>1258</v>
      </c>
      <c r="H23" s="13">
        <v>761</v>
      </c>
      <c r="I23" s="13">
        <v>2074</v>
      </c>
      <c r="J23" s="13">
        <v>2614</v>
      </c>
      <c r="K23" s="13">
        <v>843</v>
      </c>
      <c r="L23" s="13">
        <v>1103</v>
      </c>
    </row>
    <row r="24" spans="2:12" ht="15" thickBot="1" x14ac:dyDescent="0.35">
      <c r="B24" s="75" t="s">
        <v>349</v>
      </c>
      <c r="C24" s="30">
        <f t="shared" ref="C24:K24" si="0">+IF(SUM(C9:C14)=SUM(C16:C23),SUM(C9:C14),"Revisar")</f>
        <v>649672</v>
      </c>
      <c r="D24" s="30">
        <f t="shared" si="0"/>
        <v>675118</v>
      </c>
      <c r="E24" s="30">
        <f t="shared" si="0"/>
        <v>677727</v>
      </c>
      <c r="F24" s="30">
        <f t="shared" si="0"/>
        <v>756131</v>
      </c>
      <c r="G24" s="30">
        <f t="shared" si="0"/>
        <v>836978</v>
      </c>
      <c r="H24" s="30">
        <f t="shared" si="0"/>
        <v>742381</v>
      </c>
      <c r="I24" s="30">
        <f t="shared" si="0"/>
        <v>800461</v>
      </c>
      <c r="J24" s="30">
        <f t="shared" si="0"/>
        <v>833497</v>
      </c>
      <c r="K24" s="30">
        <f t="shared" si="0"/>
        <v>885315</v>
      </c>
      <c r="L24" s="30">
        <f t="shared" ref="L24" si="1">+IF(SUM(L9:L14)=SUM(L16:L23),SUM(L9:L14),"Revisar")</f>
        <v>929035</v>
      </c>
    </row>
    <row r="25" spans="2:12" x14ac:dyDescent="0.3">
      <c r="B25" s="56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2:12" x14ac:dyDescent="0.3">
      <c r="H26" s="7"/>
      <c r="I26" s="7"/>
      <c r="J26" s="7"/>
      <c r="K26" s="7"/>
      <c r="L26" s="7"/>
    </row>
    <row r="27" spans="2:12" x14ac:dyDescent="0.3">
      <c r="B27" s="39" t="s">
        <v>350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3">
      <c r="B28" s="56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2" ht="15" thickBot="1" x14ac:dyDescent="0.35">
      <c r="B29" s="59"/>
      <c r="C29" s="16">
        <f t="shared" ref="C29:J29" si="2">C7</f>
        <v>2010</v>
      </c>
      <c r="D29" s="16">
        <f t="shared" si="2"/>
        <v>2011</v>
      </c>
      <c r="E29" s="16">
        <f t="shared" si="2"/>
        <v>2012</v>
      </c>
      <c r="F29" s="16">
        <f t="shared" si="2"/>
        <v>2013</v>
      </c>
      <c r="G29" s="16">
        <f t="shared" si="2"/>
        <v>2014</v>
      </c>
      <c r="H29" s="16">
        <f t="shared" si="2"/>
        <v>2015</v>
      </c>
      <c r="I29" s="16">
        <f t="shared" si="2"/>
        <v>2016</v>
      </c>
      <c r="J29" s="16">
        <f t="shared" si="2"/>
        <v>2017</v>
      </c>
      <c r="K29" s="16">
        <f>$K$7</f>
        <v>2018</v>
      </c>
      <c r="L29" s="16">
        <v>2019</v>
      </c>
    </row>
    <row r="30" spans="2:12" x14ac:dyDescent="0.3">
      <c r="B30" s="209" t="s">
        <v>339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01"/>
    </row>
    <row r="31" spans="2:12" x14ac:dyDescent="0.3">
      <c r="B31" s="253" t="s">
        <v>205</v>
      </c>
      <c r="C31" s="231">
        <v>3</v>
      </c>
      <c r="D31" s="231">
        <v>3</v>
      </c>
      <c r="E31" s="231">
        <v>3</v>
      </c>
      <c r="F31" s="231">
        <v>3</v>
      </c>
      <c r="G31" s="231">
        <v>3</v>
      </c>
      <c r="H31" s="231">
        <v>3</v>
      </c>
      <c r="I31" s="231">
        <v>3</v>
      </c>
      <c r="J31" s="231">
        <v>3</v>
      </c>
      <c r="K31" s="231">
        <v>3</v>
      </c>
      <c r="L31" s="231">
        <v>3</v>
      </c>
    </row>
    <row r="32" spans="2:12" x14ac:dyDescent="0.3">
      <c r="B32" s="253" t="s">
        <v>204</v>
      </c>
      <c r="C32" s="231">
        <v>14</v>
      </c>
      <c r="D32" s="231">
        <v>14</v>
      </c>
      <c r="E32" s="231">
        <v>14</v>
      </c>
      <c r="F32" s="231">
        <v>14</v>
      </c>
      <c r="G32" s="231">
        <v>14</v>
      </c>
      <c r="H32" s="231">
        <v>14</v>
      </c>
      <c r="I32" s="231">
        <v>14</v>
      </c>
      <c r="J32" s="231">
        <v>14</v>
      </c>
      <c r="K32" s="231">
        <v>14</v>
      </c>
      <c r="L32" s="231">
        <v>14</v>
      </c>
    </row>
    <row r="33" spans="2:12" x14ac:dyDescent="0.3">
      <c r="B33" s="253" t="s">
        <v>55</v>
      </c>
      <c r="C33" s="231">
        <v>4</v>
      </c>
      <c r="D33" s="231">
        <v>4</v>
      </c>
      <c r="E33" s="231">
        <v>4</v>
      </c>
      <c r="F33" s="231">
        <v>4</v>
      </c>
      <c r="G33" s="231">
        <v>4</v>
      </c>
      <c r="H33" s="231">
        <v>4</v>
      </c>
      <c r="I33" s="231">
        <v>4</v>
      </c>
      <c r="J33" s="231">
        <v>4</v>
      </c>
      <c r="K33" s="231">
        <v>5</v>
      </c>
      <c r="L33" s="231">
        <v>5</v>
      </c>
    </row>
    <row r="34" spans="2:12" x14ac:dyDescent="0.3">
      <c r="B34" s="253" t="s">
        <v>56</v>
      </c>
      <c r="C34" s="231">
        <v>1</v>
      </c>
      <c r="D34" s="231">
        <v>1</v>
      </c>
      <c r="E34" s="231">
        <v>1</v>
      </c>
      <c r="F34" s="231">
        <v>1</v>
      </c>
      <c r="G34" s="231">
        <v>2</v>
      </c>
      <c r="H34" s="231">
        <v>2</v>
      </c>
      <c r="I34" s="231">
        <v>3</v>
      </c>
      <c r="J34" s="231">
        <v>3</v>
      </c>
      <c r="K34" s="231">
        <v>3</v>
      </c>
      <c r="L34" s="231">
        <v>3</v>
      </c>
    </row>
    <row r="35" spans="2:12" x14ac:dyDescent="0.3">
      <c r="B35" s="255" t="s">
        <v>57</v>
      </c>
      <c r="C35" s="234">
        <v>2</v>
      </c>
      <c r="D35" s="234">
        <v>2</v>
      </c>
      <c r="E35" s="234">
        <v>2</v>
      </c>
      <c r="F35" s="234">
        <v>2</v>
      </c>
      <c r="G35" s="234">
        <v>2</v>
      </c>
      <c r="H35" s="234">
        <v>2</v>
      </c>
      <c r="I35" s="234">
        <v>2</v>
      </c>
      <c r="J35" s="234">
        <v>3</v>
      </c>
      <c r="K35" s="234">
        <v>3</v>
      </c>
      <c r="L35" s="234">
        <v>3</v>
      </c>
    </row>
    <row r="36" spans="2:12" ht="15" thickBot="1" x14ac:dyDescent="0.35">
      <c r="B36" s="32" t="s">
        <v>58</v>
      </c>
      <c r="C36" s="76" t="s">
        <v>142</v>
      </c>
      <c r="D36" s="76" t="s">
        <v>142</v>
      </c>
      <c r="E36" s="76" t="s">
        <v>142</v>
      </c>
      <c r="F36" s="76" t="s">
        <v>142</v>
      </c>
      <c r="G36" s="76" t="s">
        <v>142</v>
      </c>
      <c r="H36" s="76" t="s">
        <v>142</v>
      </c>
      <c r="I36" s="76">
        <v>1</v>
      </c>
      <c r="J36" s="76">
        <v>1</v>
      </c>
      <c r="K36" s="76">
        <v>1</v>
      </c>
      <c r="L36" s="76">
        <v>1</v>
      </c>
    </row>
    <row r="37" spans="2:12" ht="15" thickBot="1" x14ac:dyDescent="0.35">
      <c r="B37" s="75" t="s">
        <v>351</v>
      </c>
      <c r="C37" s="30">
        <f t="shared" ref="C37:K37" si="3">+SUM(C31:C36)</f>
        <v>24</v>
      </c>
      <c r="D37" s="30">
        <f t="shared" si="3"/>
        <v>24</v>
      </c>
      <c r="E37" s="30">
        <f t="shared" si="3"/>
        <v>24</v>
      </c>
      <c r="F37" s="30">
        <f t="shared" si="3"/>
        <v>24</v>
      </c>
      <c r="G37" s="30">
        <f t="shared" si="3"/>
        <v>25</v>
      </c>
      <c r="H37" s="30">
        <f t="shared" si="3"/>
        <v>25</v>
      </c>
      <c r="I37" s="30">
        <f t="shared" si="3"/>
        <v>27</v>
      </c>
      <c r="J37" s="30">
        <f t="shared" si="3"/>
        <v>28</v>
      </c>
      <c r="K37" s="30">
        <f t="shared" si="3"/>
        <v>29</v>
      </c>
      <c r="L37" s="30">
        <v>29</v>
      </c>
    </row>
    <row r="38" spans="2:12" x14ac:dyDescent="0.3">
      <c r="H38" s="7"/>
      <c r="I38" s="7"/>
      <c r="J38" s="7"/>
      <c r="K38" s="7"/>
      <c r="L38" s="7"/>
    </row>
    <row r="39" spans="2:12" x14ac:dyDescent="0.3">
      <c r="H39" s="7"/>
      <c r="I39" s="7"/>
      <c r="J39" s="7"/>
      <c r="K39" s="7"/>
      <c r="L39" s="7"/>
    </row>
    <row r="40" spans="2:12" x14ac:dyDescent="0.3">
      <c r="B40" s="41" t="s">
        <v>352</v>
      </c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2:12" x14ac:dyDescent="0.3">
      <c r="B41" s="56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2:12" ht="15" thickBot="1" x14ac:dyDescent="0.35">
      <c r="B42" s="66"/>
      <c r="C42" s="86">
        <v>2010</v>
      </c>
      <c r="D42" s="86">
        <v>2011</v>
      </c>
      <c r="E42" s="86">
        <v>2012</v>
      </c>
      <c r="F42" s="86">
        <v>2013</v>
      </c>
      <c r="G42" s="86">
        <v>2014</v>
      </c>
      <c r="H42" s="86">
        <v>2015</v>
      </c>
      <c r="I42" s="86">
        <v>2016</v>
      </c>
      <c r="J42" s="86">
        <v>2017</v>
      </c>
      <c r="K42" s="16">
        <f>$K$7</f>
        <v>2018</v>
      </c>
      <c r="L42" s="16">
        <v>2019</v>
      </c>
    </row>
    <row r="43" spans="2:12" x14ac:dyDescent="0.3">
      <c r="B43" s="63" t="s">
        <v>353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2:12" x14ac:dyDescent="0.3">
      <c r="B44" s="257" t="s">
        <v>354</v>
      </c>
      <c r="C44" s="258">
        <f t="shared" ref="C44:K44" si="4">SUM(C45:C48)</f>
        <v>12536</v>
      </c>
      <c r="D44" s="258">
        <f t="shared" si="4"/>
        <v>15565</v>
      </c>
      <c r="E44" s="258">
        <f t="shared" si="4"/>
        <v>16926</v>
      </c>
      <c r="F44" s="258">
        <f t="shared" si="4"/>
        <v>17913</v>
      </c>
      <c r="G44" s="258">
        <f t="shared" si="4"/>
        <v>17806</v>
      </c>
      <c r="H44" s="258">
        <f t="shared" si="4"/>
        <v>16936</v>
      </c>
      <c r="I44" s="258">
        <f t="shared" si="4"/>
        <v>15981</v>
      </c>
      <c r="J44" s="258">
        <f t="shared" si="4"/>
        <v>15768</v>
      </c>
      <c r="K44" s="258">
        <f t="shared" si="4"/>
        <v>15143</v>
      </c>
      <c r="L44" s="258">
        <f t="shared" ref="L44" si="5">SUM(L45:L48)</f>
        <v>16920</v>
      </c>
    </row>
    <row r="45" spans="2:12" x14ac:dyDescent="0.3">
      <c r="B45" s="259" t="s">
        <v>355</v>
      </c>
      <c r="C45" s="260">
        <v>10419</v>
      </c>
      <c r="D45" s="260">
        <v>12767</v>
      </c>
      <c r="E45" s="260">
        <v>13913</v>
      </c>
      <c r="F45" s="260">
        <v>14987</v>
      </c>
      <c r="G45" s="260">
        <v>14869</v>
      </c>
      <c r="H45" s="260">
        <v>13954</v>
      </c>
      <c r="I45" s="260">
        <v>13307</v>
      </c>
      <c r="J45" s="260">
        <v>12883</v>
      </c>
      <c r="K45" s="260">
        <v>12323</v>
      </c>
      <c r="L45" s="260">
        <v>13556</v>
      </c>
    </row>
    <row r="46" spans="2:12" x14ac:dyDescent="0.3">
      <c r="B46" s="261" t="s">
        <v>356</v>
      </c>
      <c r="C46" s="260">
        <v>1684</v>
      </c>
      <c r="D46" s="260">
        <v>2082</v>
      </c>
      <c r="E46" s="260">
        <v>2258</v>
      </c>
      <c r="F46" s="260">
        <v>2344</v>
      </c>
      <c r="G46" s="260">
        <v>2314</v>
      </c>
      <c r="H46" s="260">
        <v>2358</v>
      </c>
      <c r="I46" s="260">
        <v>1944</v>
      </c>
      <c r="J46" s="260">
        <v>2111</v>
      </c>
      <c r="K46" s="260">
        <v>2207</v>
      </c>
      <c r="L46" s="260">
        <v>2788</v>
      </c>
    </row>
    <row r="47" spans="2:12" x14ac:dyDescent="0.3">
      <c r="B47" s="261" t="s">
        <v>357</v>
      </c>
      <c r="C47" s="262">
        <v>324</v>
      </c>
      <c r="D47" s="262">
        <v>479</v>
      </c>
      <c r="E47" s="262">
        <v>469</v>
      </c>
      <c r="F47" s="262">
        <v>264</v>
      </c>
      <c r="G47" s="262">
        <v>244</v>
      </c>
      <c r="H47" s="262">
        <v>210</v>
      </c>
      <c r="I47" s="262">
        <v>254</v>
      </c>
      <c r="J47" s="262">
        <v>212</v>
      </c>
      <c r="K47" s="262">
        <v>192</v>
      </c>
      <c r="L47" s="262">
        <v>94</v>
      </c>
    </row>
    <row r="48" spans="2:12" x14ac:dyDescent="0.3">
      <c r="B48" s="261" t="s">
        <v>358</v>
      </c>
      <c r="C48" s="262">
        <v>109</v>
      </c>
      <c r="D48" s="262">
        <v>237</v>
      </c>
      <c r="E48" s="262">
        <v>286</v>
      </c>
      <c r="F48" s="260">
        <v>318</v>
      </c>
      <c r="G48" s="260">
        <v>379</v>
      </c>
      <c r="H48" s="260">
        <v>414</v>
      </c>
      <c r="I48" s="260">
        <v>476</v>
      </c>
      <c r="J48" s="260">
        <v>562</v>
      </c>
      <c r="K48" s="260">
        <v>421</v>
      </c>
      <c r="L48" s="260">
        <v>482</v>
      </c>
    </row>
    <row r="49" spans="2:12" x14ac:dyDescent="0.3">
      <c r="B49" s="263" t="s">
        <v>359</v>
      </c>
      <c r="C49" s="258">
        <v>7800</v>
      </c>
      <c r="D49" s="258">
        <v>8122</v>
      </c>
      <c r="E49" s="258">
        <v>7735</v>
      </c>
      <c r="F49" s="258">
        <v>9291</v>
      </c>
      <c r="G49" s="258">
        <v>8135</v>
      </c>
      <c r="H49" s="258">
        <v>7823</v>
      </c>
      <c r="I49" s="258">
        <v>8149</v>
      </c>
      <c r="J49" s="258">
        <v>8529</v>
      </c>
      <c r="K49" s="258">
        <v>9036</v>
      </c>
      <c r="L49" s="258">
        <v>10030</v>
      </c>
    </row>
    <row r="50" spans="2:12" ht="15" thickBot="1" x14ac:dyDescent="0.35">
      <c r="B50" s="74" t="s">
        <v>360</v>
      </c>
      <c r="C50" s="73">
        <f t="shared" ref="C50:K50" si="6">+C49+C44</f>
        <v>20336</v>
      </c>
      <c r="D50" s="73">
        <f t="shared" si="6"/>
        <v>23687</v>
      </c>
      <c r="E50" s="73">
        <f t="shared" si="6"/>
        <v>24661</v>
      </c>
      <c r="F50" s="73">
        <f t="shared" si="6"/>
        <v>27204</v>
      </c>
      <c r="G50" s="73">
        <f t="shared" si="6"/>
        <v>25941</v>
      </c>
      <c r="H50" s="73">
        <f t="shared" si="6"/>
        <v>24759</v>
      </c>
      <c r="I50" s="73">
        <f t="shared" si="6"/>
        <v>24130</v>
      </c>
      <c r="J50" s="73">
        <f t="shared" si="6"/>
        <v>24297</v>
      </c>
      <c r="K50" s="73">
        <f t="shared" si="6"/>
        <v>24179</v>
      </c>
      <c r="L50" s="73">
        <f t="shared" ref="L50" si="7">+L49+L44</f>
        <v>26950</v>
      </c>
    </row>
    <row r="51" spans="2:12" x14ac:dyDescent="0.3">
      <c r="H51" s="42"/>
      <c r="I51" s="42"/>
      <c r="J51" s="42"/>
      <c r="K51" s="42"/>
      <c r="L51" s="42"/>
    </row>
    <row r="52" spans="2:12" x14ac:dyDescent="0.3">
      <c r="J52" s="20"/>
    </row>
    <row r="53" spans="2:12" x14ac:dyDescent="0.3">
      <c r="B53" s="41" t="s">
        <v>361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2:12" x14ac:dyDescent="0.3">
      <c r="B54" s="56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2:12" ht="15" thickBot="1" x14ac:dyDescent="0.35">
      <c r="B55" s="66"/>
      <c r="C55" s="86">
        <f t="shared" ref="C55:J55" si="8">C42</f>
        <v>2010</v>
      </c>
      <c r="D55" s="86">
        <f t="shared" si="8"/>
        <v>2011</v>
      </c>
      <c r="E55" s="86">
        <f t="shared" si="8"/>
        <v>2012</v>
      </c>
      <c r="F55" s="86">
        <f t="shared" si="8"/>
        <v>2013</v>
      </c>
      <c r="G55" s="86">
        <f t="shared" si="8"/>
        <v>2014</v>
      </c>
      <c r="H55" s="86">
        <f t="shared" si="8"/>
        <v>2015</v>
      </c>
      <c r="I55" s="86">
        <f t="shared" si="8"/>
        <v>2016</v>
      </c>
      <c r="J55" s="86">
        <f t="shared" si="8"/>
        <v>2017</v>
      </c>
      <c r="K55" s="16">
        <f>$K$7</f>
        <v>2018</v>
      </c>
      <c r="L55" s="16">
        <v>2019</v>
      </c>
    </row>
    <row r="56" spans="2:12" x14ac:dyDescent="0.3">
      <c r="B56" s="63" t="s">
        <v>362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2:12" x14ac:dyDescent="0.3">
      <c r="B57" s="264" t="s">
        <v>205</v>
      </c>
      <c r="C57" s="260">
        <v>14221</v>
      </c>
      <c r="D57" s="260">
        <v>15651</v>
      </c>
      <c r="E57" s="260">
        <v>14026</v>
      </c>
      <c r="F57" s="260">
        <v>13114</v>
      </c>
      <c r="G57" s="260">
        <v>13006</v>
      </c>
      <c r="H57" s="260">
        <v>13540</v>
      </c>
      <c r="I57" s="260">
        <v>15992</v>
      </c>
      <c r="J57" s="260">
        <v>17849</v>
      </c>
      <c r="K57" s="260">
        <v>18879</v>
      </c>
      <c r="L57" s="260">
        <v>23477</v>
      </c>
    </row>
    <row r="58" spans="2:12" x14ac:dyDescent="0.3">
      <c r="B58" s="212" t="s">
        <v>204</v>
      </c>
      <c r="C58" s="260">
        <v>11081</v>
      </c>
      <c r="D58" s="260">
        <v>10698</v>
      </c>
      <c r="E58" s="260">
        <v>9672</v>
      </c>
      <c r="F58" s="260">
        <v>8296</v>
      </c>
      <c r="G58" s="260">
        <v>8024</v>
      </c>
      <c r="H58" s="260">
        <v>8600</v>
      </c>
      <c r="I58" s="260">
        <v>8904</v>
      </c>
      <c r="J58" s="260">
        <v>9710</v>
      </c>
      <c r="K58" s="260">
        <v>10668</v>
      </c>
      <c r="L58" s="260">
        <v>11200</v>
      </c>
    </row>
    <row r="59" spans="2:12" x14ac:dyDescent="0.3">
      <c r="B59" s="264" t="s">
        <v>55</v>
      </c>
      <c r="C59" s="260">
        <v>7366</v>
      </c>
      <c r="D59" s="260">
        <v>8159</v>
      </c>
      <c r="E59" s="260">
        <v>7733</v>
      </c>
      <c r="F59" s="260">
        <v>8123</v>
      </c>
      <c r="G59" s="260">
        <v>7195</v>
      </c>
      <c r="H59" s="260">
        <v>6984</v>
      </c>
      <c r="I59" s="260">
        <v>6735</v>
      </c>
      <c r="J59" s="260">
        <v>6969</v>
      </c>
      <c r="K59" s="260">
        <v>7368</v>
      </c>
      <c r="L59" s="260">
        <v>7441</v>
      </c>
    </row>
    <row r="60" spans="2:12" x14ac:dyDescent="0.3">
      <c r="B60" s="264" t="s">
        <v>57</v>
      </c>
      <c r="C60" s="260">
        <v>3701</v>
      </c>
      <c r="D60" s="260">
        <v>3568</v>
      </c>
      <c r="E60" s="260">
        <v>2997</v>
      </c>
      <c r="F60" s="260">
        <v>3162</v>
      </c>
      <c r="G60" s="260">
        <v>3120</v>
      </c>
      <c r="H60" s="260">
        <v>3150</v>
      </c>
      <c r="I60" s="260">
        <v>3389</v>
      </c>
      <c r="J60" s="260">
        <v>3556</v>
      </c>
      <c r="K60" s="260">
        <v>3645</v>
      </c>
      <c r="L60" s="260">
        <v>3875</v>
      </c>
    </row>
    <row r="61" spans="2:12" x14ac:dyDescent="0.3">
      <c r="B61" s="264" t="s">
        <v>206</v>
      </c>
      <c r="C61" s="260">
        <v>1279</v>
      </c>
      <c r="D61" s="260">
        <v>1055</v>
      </c>
      <c r="E61" s="260">
        <v>845</v>
      </c>
      <c r="F61" s="260">
        <v>851</v>
      </c>
      <c r="G61" s="260">
        <v>828</v>
      </c>
      <c r="H61" s="260">
        <v>706</v>
      </c>
      <c r="I61" s="260">
        <v>778</v>
      </c>
      <c r="J61" s="260">
        <v>917</v>
      </c>
      <c r="K61" s="260">
        <v>1113</v>
      </c>
      <c r="L61" s="260">
        <v>1332</v>
      </c>
    </row>
    <row r="62" spans="2:12" x14ac:dyDescent="0.3">
      <c r="B62" s="264" t="s">
        <v>58</v>
      </c>
      <c r="C62" s="260">
        <v>736</v>
      </c>
      <c r="D62" s="260">
        <v>730</v>
      </c>
      <c r="E62" s="260">
        <v>676</v>
      </c>
      <c r="F62" s="260">
        <v>629</v>
      </c>
      <c r="G62" s="260">
        <v>629</v>
      </c>
      <c r="H62" s="260">
        <v>619</v>
      </c>
      <c r="I62" s="260">
        <v>597</v>
      </c>
      <c r="J62" s="260">
        <v>506</v>
      </c>
      <c r="K62" s="260">
        <v>541</v>
      </c>
      <c r="L62" s="260">
        <v>594</v>
      </c>
    </row>
    <row r="63" spans="2:12" ht="15" thickBot="1" x14ac:dyDescent="0.35">
      <c r="B63" s="74" t="s">
        <v>363</v>
      </c>
      <c r="C63" s="73">
        <f t="shared" ref="C63:K63" si="9">+SUM(C57:C62)</f>
        <v>38384</v>
      </c>
      <c r="D63" s="73">
        <f t="shared" si="9"/>
        <v>39861</v>
      </c>
      <c r="E63" s="73">
        <f t="shared" si="9"/>
        <v>35949</v>
      </c>
      <c r="F63" s="73">
        <f t="shared" si="9"/>
        <v>34175</v>
      </c>
      <c r="G63" s="73">
        <f t="shared" si="9"/>
        <v>32802</v>
      </c>
      <c r="H63" s="73">
        <f t="shared" si="9"/>
        <v>33599</v>
      </c>
      <c r="I63" s="73">
        <f t="shared" si="9"/>
        <v>36395</v>
      </c>
      <c r="J63" s="73">
        <f t="shared" si="9"/>
        <v>39507</v>
      </c>
      <c r="K63" s="73">
        <f t="shared" si="9"/>
        <v>42214</v>
      </c>
      <c r="L63" s="73">
        <f t="shared" ref="L63" si="10">+SUM(L57:L62)</f>
        <v>47919</v>
      </c>
    </row>
    <row r="64" spans="2:12" x14ac:dyDescent="0.3">
      <c r="B64" s="72" t="s">
        <v>364</v>
      </c>
      <c r="C64" s="62">
        <f t="shared" ref="C64:K64" si="11">+SUM(C65:C70)</f>
        <v>7541</v>
      </c>
      <c r="D64" s="62">
        <f t="shared" si="11"/>
        <v>7638</v>
      </c>
      <c r="E64" s="62">
        <f t="shared" si="11"/>
        <v>6429</v>
      </c>
      <c r="F64" s="62">
        <f t="shared" si="11"/>
        <v>7825</v>
      </c>
      <c r="G64" s="62">
        <f t="shared" si="11"/>
        <v>8080</v>
      </c>
      <c r="H64" s="62">
        <f t="shared" si="11"/>
        <v>8151</v>
      </c>
      <c r="I64" s="62">
        <f t="shared" si="11"/>
        <v>8618</v>
      </c>
      <c r="J64" s="62">
        <f t="shared" si="11"/>
        <v>9511</v>
      </c>
      <c r="K64" s="62">
        <f t="shared" si="11"/>
        <v>9729</v>
      </c>
      <c r="L64" s="62">
        <f t="shared" ref="L64" si="12">+SUM(L65:L70)</f>
        <v>9644</v>
      </c>
    </row>
    <row r="65" spans="2:12" x14ac:dyDescent="0.3">
      <c r="B65" s="264" t="s">
        <v>365</v>
      </c>
      <c r="C65" s="260">
        <v>3255</v>
      </c>
      <c r="D65" s="260">
        <v>3043</v>
      </c>
      <c r="E65" s="260">
        <v>2309</v>
      </c>
      <c r="F65" s="239">
        <v>3033</v>
      </c>
      <c r="G65" s="239">
        <v>3078</v>
      </c>
      <c r="H65" s="239">
        <v>2733</v>
      </c>
      <c r="I65" s="239">
        <v>2698</v>
      </c>
      <c r="J65" s="239">
        <v>2754</v>
      </c>
      <c r="K65" s="239">
        <v>2979</v>
      </c>
      <c r="L65" s="239">
        <v>2775</v>
      </c>
    </row>
    <row r="66" spans="2:12" x14ac:dyDescent="0.3">
      <c r="B66" s="264" t="s">
        <v>366</v>
      </c>
      <c r="C66" s="260">
        <v>1745</v>
      </c>
      <c r="D66" s="260">
        <v>1791</v>
      </c>
      <c r="E66" s="260">
        <v>1691</v>
      </c>
      <c r="F66" s="239">
        <v>2030</v>
      </c>
      <c r="G66" s="239">
        <v>2013</v>
      </c>
      <c r="H66" s="239">
        <v>2052</v>
      </c>
      <c r="I66" s="239">
        <v>2148</v>
      </c>
      <c r="J66" s="239">
        <v>2469</v>
      </c>
      <c r="K66" s="239">
        <v>2400</v>
      </c>
      <c r="L66" s="239">
        <v>2373</v>
      </c>
    </row>
    <row r="67" spans="2:12" x14ac:dyDescent="0.3">
      <c r="B67" s="264" t="s">
        <v>367</v>
      </c>
      <c r="C67" s="260">
        <v>662</v>
      </c>
      <c r="D67" s="260">
        <v>777</v>
      </c>
      <c r="E67" s="260">
        <v>637</v>
      </c>
      <c r="F67" s="239">
        <v>742</v>
      </c>
      <c r="G67" s="239">
        <v>802</v>
      </c>
      <c r="H67" s="239">
        <v>966</v>
      </c>
      <c r="I67" s="239">
        <v>1074</v>
      </c>
      <c r="J67" s="239">
        <v>1244</v>
      </c>
      <c r="K67" s="239">
        <v>1323</v>
      </c>
      <c r="L67" s="239">
        <v>1428</v>
      </c>
    </row>
    <row r="68" spans="2:12" x14ac:dyDescent="0.3">
      <c r="B68" s="264" t="s">
        <v>368</v>
      </c>
      <c r="C68" s="260">
        <v>512</v>
      </c>
      <c r="D68" s="260">
        <v>629</v>
      </c>
      <c r="E68" s="260">
        <v>590</v>
      </c>
      <c r="F68" s="239">
        <v>411</v>
      </c>
      <c r="G68" s="239">
        <v>641</v>
      </c>
      <c r="H68" s="239">
        <v>638</v>
      </c>
      <c r="I68" s="239">
        <v>663</v>
      </c>
      <c r="J68" s="239">
        <v>734</v>
      </c>
      <c r="K68" s="239">
        <v>793</v>
      </c>
      <c r="L68" s="239">
        <v>811</v>
      </c>
    </row>
    <row r="69" spans="2:12" x14ac:dyDescent="0.3">
      <c r="B69" s="265" t="s">
        <v>369</v>
      </c>
      <c r="C69" s="266">
        <v>356</v>
      </c>
      <c r="D69" s="266">
        <v>329</v>
      </c>
      <c r="E69" s="266">
        <v>315</v>
      </c>
      <c r="F69" s="267">
        <v>550</v>
      </c>
      <c r="G69" s="267">
        <v>391</v>
      </c>
      <c r="H69" s="267">
        <v>400</v>
      </c>
      <c r="I69" s="267">
        <v>356</v>
      </c>
      <c r="J69" s="267">
        <v>458</v>
      </c>
      <c r="K69" s="267">
        <v>422</v>
      </c>
      <c r="L69" s="267">
        <v>371</v>
      </c>
    </row>
    <row r="70" spans="2:12" ht="15" thickBot="1" x14ac:dyDescent="0.35">
      <c r="B70" s="71" t="s">
        <v>370</v>
      </c>
      <c r="C70" s="60">
        <v>1011</v>
      </c>
      <c r="D70" s="60">
        <v>1069</v>
      </c>
      <c r="E70" s="60">
        <v>887</v>
      </c>
      <c r="F70" s="60">
        <v>1059</v>
      </c>
      <c r="G70" s="60">
        <v>1155</v>
      </c>
      <c r="H70" s="60">
        <v>1362</v>
      </c>
      <c r="I70" s="60">
        <v>1679</v>
      </c>
      <c r="J70" s="60">
        <v>1852</v>
      </c>
      <c r="K70" s="60">
        <v>1812</v>
      </c>
      <c r="L70" s="60">
        <v>1886</v>
      </c>
    </row>
    <row r="71" spans="2:12" ht="15" thickBot="1" x14ac:dyDescent="0.35">
      <c r="B71" s="70" t="s">
        <v>371</v>
      </c>
      <c r="C71" s="69">
        <v>39</v>
      </c>
      <c r="D71" s="69">
        <v>39</v>
      </c>
      <c r="E71" s="69">
        <v>42</v>
      </c>
      <c r="F71" s="69">
        <v>46</v>
      </c>
      <c r="G71" s="69">
        <v>46</v>
      </c>
      <c r="H71" s="69">
        <v>49</v>
      </c>
      <c r="I71" s="69">
        <v>52</v>
      </c>
      <c r="J71" s="69">
        <v>54</v>
      </c>
      <c r="K71" s="69">
        <v>53</v>
      </c>
      <c r="L71" s="69">
        <v>55</v>
      </c>
    </row>
    <row r="72" spans="2:12" x14ac:dyDescent="0.3">
      <c r="B72" s="72" t="s">
        <v>372</v>
      </c>
      <c r="C72" s="62">
        <f t="shared" ref="C72:K72" si="13">+SUM(C73:C78)</f>
        <v>30646</v>
      </c>
      <c r="D72" s="62">
        <f t="shared" si="13"/>
        <v>32040</v>
      </c>
      <c r="E72" s="62">
        <f t="shared" si="13"/>
        <v>29375</v>
      </c>
      <c r="F72" s="62">
        <f t="shared" si="13"/>
        <v>26201</v>
      </c>
      <c r="G72" s="62">
        <f t="shared" si="13"/>
        <v>24485</v>
      </c>
      <c r="H72" s="62">
        <f t="shared" si="13"/>
        <v>25254</v>
      </c>
      <c r="I72" s="62">
        <f t="shared" si="13"/>
        <v>27609</v>
      </c>
      <c r="J72" s="62">
        <f t="shared" si="13"/>
        <v>29856</v>
      </c>
      <c r="K72" s="62">
        <f t="shared" si="13"/>
        <v>32485</v>
      </c>
      <c r="L72" s="62">
        <f>+SUM(L73:L78)</f>
        <v>38275</v>
      </c>
    </row>
    <row r="73" spans="2:12" x14ac:dyDescent="0.3">
      <c r="B73" s="264" t="s">
        <v>373</v>
      </c>
      <c r="C73" s="260">
        <v>9758</v>
      </c>
      <c r="D73" s="260">
        <v>9677</v>
      </c>
      <c r="E73" s="260">
        <v>8656</v>
      </c>
      <c r="F73" s="239">
        <v>7406</v>
      </c>
      <c r="G73" s="239">
        <v>6678</v>
      </c>
      <c r="H73" s="239">
        <v>6652</v>
      </c>
      <c r="I73" s="239">
        <v>7383</v>
      </c>
      <c r="J73" s="239">
        <v>8468</v>
      </c>
      <c r="K73" s="239">
        <v>9973</v>
      </c>
      <c r="L73" s="239">
        <v>13468</v>
      </c>
    </row>
    <row r="74" spans="2:12" x14ac:dyDescent="0.3">
      <c r="B74" s="264" t="s">
        <v>374</v>
      </c>
      <c r="C74" s="260">
        <v>5949</v>
      </c>
      <c r="D74" s="260">
        <v>5940</v>
      </c>
      <c r="E74" s="260">
        <v>5113</v>
      </c>
      <c r="F74" s="239">
        <v>4541</v>
      </c>
      <c r="G74" s="239">
        <v>4095</v>
      </c>
      <c r="H74" s="239">
        <v>4146</v>
      </c>
      <c r="I74" s="239">
        <v>3741</v>
      </c>
      <c r="J74" s="239">
        <v>4247</v>
      </c>
      <c r="K74" s="239">
        <v>4691</v>
      </c>
      <c r="L74" s="239">
        <v>4678</v>
      </c>
    </row>
    <row r="75" spans="2:12" x14ac:dyDescent="0.3">
      <c r="B75" s="264" t="s">
        <v>367</v>
      </c>
      <c r="C75" s="260">
        <v>2137</v>
      </c>
      <c r="D75" s="260">
        <v>2456</v>
      </c>
      <c r="E75" s="260">
        <v>2284</v>
      </c>
      <c r="F75" s="239">
        <v>2008</v>
      </c>
      <c r="G75" s="239">
        <v>2012</v>
      </c>
      <c r="H75" s="239">
        <v>2007</v>
      </c>
      <c r="I75" s="239">
        <v>2288</v>
      </c>
      <c r="J75" s="239">
        <v>2384</v>
      </c>
      <c r="K75" s="239">
        <v>2715</v>
      </c>
      <c r="L75" s="239">
        <v>2837</v>
      </c>
    </row>
    <row r="76" spans="2:12" x14ac:dyDescent="0.3">
      <c r="B76" s="264" t="s">
        <v>366</v>
      </c>
      <c r="C76" s="260">
        <v>1774</v>
      </c>
      <c r="D76" s="260">
        <v>2233</v>
      </c>
      <c r="E76" s="260">
        <v>2108</v>
      </c>
      <c r="F76" s="239">
        <v>2099</v>
      </c>
      <c r="G76" s="239">
        <v>2079</v>
      </c>
      <c r="H76" s="239">
        <v>2418</v>
      </c>
      <c r="I76" s="239">
        <v>2543</v>
      </c>
      <c r="J76" s="239">
        <v>2903</v>
      </c>
      <c r="K76" s="239">
        <v>3101</v>
      </c>
      <c r="L76" s="239">
        <v>3015</v>
      </c>
    </row>
    <row r="77" spans="2:12" x14ac:dyDescent="0.3">
      <c r="B77" s="265" t="s">
        <v>375</v>
      </c>
      <c r="C77" s="266">
        <v>1619</v>
      </c>
      <c r="D77" s="266">
        <v>2040</v>
      </c>
      <c r="E77" s="266">
        <v>1898</v>
      </c>
      <c r="F77" s="267">
        <v>1570</v>
      </c>
      <c r="G77" s="267">
        <v>1518</v>
      </c>
      <c r="H77" s="267">
        <v>1460</v>
      </c>
      <c r="I77" s="267">
        <v>1567</v>
      </c>
      <c r="J77" s="267">
        <v>1735</v>
      </c>
      <c r="K77" s="267">
        <v>1625</v>
      </c>
      <c r="L77" s="267">
        <v>1477</v>
      </c>
    </row>
    <row r="78" spans="2:12" ht="15" thickBot="1" x14ac:dyDescent="0.35">
      <c r="B78" s="71" t="s">
        <v>370</v>
      </c>
      <c r="C78" s="60">
        <v>9409</v>
      </c>
      <c r="D78" s="60">
        <v>9694</v>
      </c>
      <c r="E78" s="60">
        <v>9316</v>
      </c>
      <c r="F78" s="60">
        <v>8577</v>
      </c>
      <c r="G78" s="60">
        <v>8103</v>
      </c>
      <c r="H78" s="60">
        <v>8571</v>
      </c>
      <c r="I78" s="60">
        <v>10087</v>
      </c>
      <c r="J78" s="60">
        <v>10119</v>
      </c>
      <c r="K78" s="60">
        <v>10380</v>
      </c>
      <c r="L78" s="60">
        <v>12800</v>
      </c>
    </row>
    <row r="79" spans="2:12" ht="15" thickBot="1" x14ac:dyDescent="0.35">
      <c r="B79" s="70" t="s">
        <v>376</v>
      </c>
      <c r="C79" s="69">
        <v>66</v>
      </c>
      <c r="D79" s="69">
        <v>77</v>
      </c>
      <c r="E79" s="69">
        <v>68</v>
      </c>
      <c r="F79" s="69">
        <v>68</v>
      </c>
      <c r="G79" s="69">
        <v>64</v>
      </c>
      <c r="H79" s="69">
        <v>66</v>
      </c>
      <c r="I79" s="69">
        <v>70</v>
      </c>
      <c r="J79" s="69">
        <v>68</v>
      </c>
      <c r="K79" s="69">
        <v>63</v>
      </c>
      <c r="L79" s="69">
        <v>65</v>
      </c>
    </row>
    <row r="80" spans="2:12" ht="15" thickBot="1" x14ac:dyDescent="0.35">
      <c r="B80" s="68" t="s">
        <v>377</v>
      </c>
      <c r="C80" s="67">
        <v>197</v>
      </c>
      <c r="D80" s="67">
        <v>183</v>
      </c>
      <c r="E80" s="67">
        <v>145</v>
      </c>
      <c r="F80" s="67">
        <v>149</v>
      </c>
      <c r="G80" s="67">
        <v>237</v>
      </c>
      <c r="H80" s="67">
        <v>194</v>
      </c>
      <c r="I80" s="67">
        <v>168</v>
      </c>
      <c r="J80" s="67">
        <v>140</v>
      </c>
      <c r="K80" s="67">
        <v>124</v>
      </c>
      <c r="L80" s="67">
        <v>121</v>
      </c>
    </row>
    <row r="82" spans="2:12" x14ac:dyDescent="0.3">
      <c r="G82" s="65"/>
      <c r="H82" s="7"/>
      <c r="I82" s="7"/>
      <c r="J82" s="7"/>
      <c r="K82" s="7"/>
      <c r="L82" s="7"/>
    </row>
    <row r="83" spans="2:12" x14ac:dyDescent="0.3">
      <c r="B83" s="41" t="s">
        <v>378</v>
      </c>
      <c r="C83" s="7"/>
      <c r="D83" s="7"/>
      <c r="E83" s="7"/>
      <c r="F83" s="7"/>
      <c r="G83" s="64"/>
      <c r="H83" s="7"/>
      <c r="I83" s="7"/>
      <c r="J83" s="7"/>
      <c r="K83" s="7"/>
      <c r="L83" s="7"/>
    </row>
    <row r="84" spans="2:12" x14ac:dyDescent="0.3">
      <c r="B84" s="56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2:12" ht="15" thickBot="1" x14ac:dyDescent="0.35">
      <c r="B85" s="66"/>
      <c r="C85" s="86">
        <f t="shared" ref="C85:J85" si="14">C42</f>
        <v>2010</v>
      </c>
      <c r="D85" s="86">
        <f t="shared" si="14"/>
        <v>2011</v>
      </c>
      <c r="E85" s="86">
        <f t="shared" si="14"/>
        <v>2012</v>
      </c>
      <c r="F85" s="86">
        <f t="shared" si="14"/>
        <v>2013</v>
      </c>
      <c r="G85" s="86">
        <f t="shared" si="14"/>
        <v>2014</v>
      </c>
      <c r="H85" s="86">
        <f t="shared" si="14"/>
        <v>2015</v>
      </c>
      <c r="I85" s="86">
        <f t="shared" si="14"/>
        <v>2016</v>
      </c>
      <c r="J85" s="86">
        <f t="shared" si="14"/>
        <v>2017</v>
      </c>
      <c r="K85" s="16">
        <f>$K$7</f>
        <v>2018</v>
      </c>
      <c r="L85" s="16">
        <v>2019</v>
      </c>
    </row>
    <row r="86" spans="2:12" x14ac:dyDescent="0.3">
      <c r="B86" s="63" t="s">
        <v>379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</row>
    <row r="87" spans="2:12" x14ac:dyDescent="0.3">
      <c r="B87" s="257" t="s">
        <v>380</v>
      </c>
      <c r="C87" s="258">
        <v>2202</v>
      </c>
      <c r="D87" s="258">
        <v>2023</v>
      </c>
      <c r="E87" s="258">
        <v>1578</v>
      </c>
      <c r="F87" s="258">
        <v>1572</v>
      </c>
      <c r="G87" s="258">
        <v>1781</v>
      </c>
      <c r="H87" s="258">
        <v>1969</v>
      </c>
      <c r="I87" s="258">
        <v>1937</v>
      </c>
      <c r="J87" s="258">
        <v>1677</v>
      </c>
      <c r="K87" s="258">
        <v>1682</v>
      </c>
      <c r="L87" s="258">
        <v>1786</v>
      </c>
    </row>
    <row r="88" spans="2:12" x14ac:dyDescent="0.3">
      <c r="B88" s="257" t="s">
        <v>381</v>
      </c>
      <c r="C88" s="258">
        <f t="shared" ref="C88:K88" si="15">SUM(C89:C90)</f>
        <v>2200</v>
      </c>
      <c r="D88" s="258">
        <f t="shared" si="15"/>
        <v>2195</v>
      </c>
      <c r="E88" s="258">
        <f t="shared" si="15"/>
        <v>1545</v>
      </c>
      <c r="F88" s="258">
        <f t="shared" si="15"/>
        <v>1560</v>
      </c>
      <c r="G88" s="258">
        <f t="shared" si="15"/>
        <v>1626</v>
      </c>
      <c r="H88" s="258">
        <f t="shared" si="15"/>
        <v>1826</v>
      </c>
      <c r="I88" s="258">
        <f t="shared" si="15"/>
        <v>1906</v>
      </c>
      <c r="J88" s="258">
        <f t="shared" si="15"/>
        <v>1832</v>
      </c>
      <c r="K88" s="258">
        <f t="shared" si="15"/>
        <v>1689</v>
      </c>
      <c r="L88" s="258">
        <v>1740</v>
      </c>
    </row>
    <row r="89" spans="2:12" x14ac:dyDescent="0.3">
      <c r="B89" s="259" t="s">
        <v>382</v>
      </c>
      <c r="C89" s="260">
        <v>1661</v>
      </c>
      <c r="D89" s="260">
        <v>1438</v>
      </c>
      <c r="E89" s="260">
        <v>1023</v>
      </c>
      <c r="F89" s="260">
        <v>1243</v>
      </c>
      <c r="G89" s="260">
        <v>1276</v>
      </c>
      <c r="H89" s="260">
        <v>1480</v>
      </c>
      <c r="I89" s="260">
        <v>1474</v>
      </c>
      <c r="J89" s="260">
        <v>1390</v>
      </c>
      <c r="K89" s="260">
        <v>1318</v>
      </c>
      <c r="L89" s="260">
        <v>1318</v>
      </c>
    </row>
    <row r="90" spans="2:12" ht="15" thickBot="1" x14ac:dyDescent="0.35">
      <c r="B90" s="61" t="s">
        <v>383</v>
      </c>
      <c r="C90" s="60">
        <v>539</v>
      </c>
      <c r="D90" s="60">
        <v>757</v>
      </c>
      <c r="E90" s="60">
        <v>522</v>
      </c>
      <c r="F90" s="60">
        <v>317</v>
      </c>
      <c r="G90" s="60">
        <v>350</v>
      </c>
      <c r="H90" s="60">
        <v>346</v>
      </c>
      <c r="I90" s="60">
        <v>432</v>
      </c>
      <c r="J90" s="60">
        <v>442</v>
      </c>
      <c r="K90" s="60">
        <v>371</v>
      </c>
      <c r="L90" s="60">
        <v>422</v>
      </c>
    </row>
    <row r="91" spans="2:12" x14ac:dyDescent="0.3">
      <c r="H91" s="7"/>
      <c r="I91" s="7"/>
      <c r="J91" s="7"/>
      <c r="K91" s="7"/>
      <c r="L91" s="7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2" manualBreakCount="2">
    <brk id="52" max="16383" man="1"/>
    <brk id="82" max="16383" man="1"/>
  </rowBreaks>
  <ignoredErrors>
    <ignoredError sqref="C44:J51 C53:J59 C52:I52 K64 K72 C62:J72 C60:I61 K44:L44 L64:L7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B2:L38"/>
  <sheetViews>
    <sheetView zoomScaleNormal="100" workbookViewId="0"/>
  </sheetViews>
  <sheetFormatPr defaultColWidth="9.109375" defaultRowHeight="14.4" x14ac:dyDescent="0.3"/>
  <cols>
    <col min="1" max="1" width="9.109375" style="7" customWidth="1"/>
    <col min="2" max="2" width="58.6640625" style="7" customWidth="1"/>
    <col min="3" max="12" width="11.6640625" style="7" customWidth="1"/>
    <col min="13" max="16384" width="9.109375" style="7"/>
  </cols>
  <sheetData>
    <row r="2" spans="2:12" ht="17.399999999999999" x14ac:dyDescent="0.35">
      <c r="B2" s="157" t="s">
        <v>384</v>
      </c>
    </row>
    <row r="3" spans="2:12" x14ac:dyDescent="0.3">
      <c r="B3" s="115"/>
    </row>
    <row r="4" spans="2:12" x14ac:dyDescent="0.3">
      <c r="B4" s="115"/>
    </row>
    <row r="5" spans="2:12" x14ac:dyDescent="0.3">
      <c r="B5" s="22" t="s">
        <v>385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12" ht="28.8" x14ac:dyDescent="0.3">
      <c r="B6" s="79"/>
      <c r="C6" s="79"/>
      <c r="D6" s="79"/>
      <c r="E6" s="79"/>
      <c r="F6" s="79"/>
      <c r="G6" s="79"/>
      <c r="H6" s="79"/>
      <c r="I6" s="79"/>
      <c r="K6" s="37"/>
      <c r="L6" s="307" t="s">
        <v>298</v>
      </c>
    </row>
    <row r="7" spans="2:12" ht="15" thickBot="1" x14ac:dyDescent="0.35">
      <c r="B7" s="169"/>
      <c r="C7" s="83">
        <v>2010</v>
      </c>
      <c r="D7" s="83">
        <v>2011</v>
      </c>
      <c r="E7" s="83">
        <v>2012</v>
      </c>
      <c r="F7" s="83">
        <v>2013</v>
      </c>
      <c r="G7" s="83">
        <v>2014</v>
      </c>
      <c r="H7" s="83">
        <v>2015</v>
      </c>
      <c r="I7" s="83">
        <v>2016</v>
      </c>
      <c r="J7" s="83">
        <v>2017</v>
      </c>
      <c r="K7" s="83">
        <v>2018</v>
      </c>
      <c r="L7" s="83">
        <v>2019</v>
      </c>
    </row>
    <row r="8" spans="2:12" x14ac:dyDescent="0.3">
      <c r="B8" s="268" t="s">
        <v>386</v>
      </c>
      <c r="C8" s="269">
        <f t="shared" ref="C8:J8" si="0">+SUM(C9:C14)</f>
        <v>37645</v>
      </c>
      <c r="D8" s="269">
        <f t="shared" si="0"/>
        <v>34734</v>
      </c>
      <c r="E8" s="269">
        <f t="shared" si="0"/>
        <v>32479</v>
      </c>
      <c r="F8" s="269">
        <f t="shared" si="0"/>
        <v>30698</v>
      </c>
      <c r="G8" s="269">
        <f t="shared" si="0"/>
        <v>30354</v>
      </c>
      <c r="H8" s="269">
        <f t="shared" si="0"/>
        <v>19375</v>
      </c>
      <c r="I8" s="269">
        <f t="shared" si="0"/>
        <v>18439</v>
      </c>
      <c r="J8" s="269">
        <f t="shared" si="0"/>
        <v>18346</v>
      </c>
      <c r="K8" s="269">
        <f t="shared" ref="K8" si="1">+SUM(K9:K14)</f>
        <v>18697</v>
      </c>
      <c r="L8" s="241" t="s">
        <v>135</v>
      </c>
    </row>
    <row r="9" spans="2:12" x14ac:dyDescent="0.3">
      <c r="B9" s="242" t="s">
        <v>387</v>
      </c>
      <c r="C9" s="244">
        <v>12314</v>
      </c>
      <c r="D9" s="244">
        <v>10999</v>
      </c>
      <c r="E9" s="244">
        <v>10152</v>
      </c>
      <c r="F9" s="244">
        <v>9672</v>
      </c>
      <c r="G9" s="239">
        <v>9837</v>
      </c>
      <c r="H9" s="239">
        <v>8748</v>
      </c>
      <c r="I9" s="239">
        <v>8183</v>
      </c>
      <c r="J9" s="239">
        <v>8397</v>
      </c>
      <c r="K9" s="239">
        <v>8551</v>
      </c>
      <c r="L9" s="239" t="s">
        <v>135</v>
      </c>
    </row>
    <row r="10" spans="2:12" x14ac:dyDescent="0.3">
      <c r="B10" s="242" t="s">
        <v>388</v>
      </c>
      <c r="C10" s="244">
        <v>11745</v>
      </c>
      <c r="D10" s="244">
        <v>11179</v>
      </c>
      <c r="E10" s="244">
        <v>10382</v>
      </c>
      <c r="F10" s="244">
        <v>9464</v>
      </c>
      <c r="G10" s="239">
        <v>9486</v>
      </c>
      <c r="H10" s="239">
        <v>5116</v>
      </c>
      <c r="I10" s="239">
        <v>4728</v>
      </c>
      <c r="J10" s="239">
        <v>5033</v>
      </c>
      <c r="K10" s="239">
        <v>4718</v>
      </c>
      <c r="L10" s="239" t="s">
        <v>135</v>
      </c>
    </row>
    <row r="11" spans="2:12" x14ac:dyDescent="0.3">
      <c r="B11" s="242" t="s">
        <v>55</v>
      </c>
      <c r="C11" s="244">
        <v>8949</v>
      </c>
      <c r="D11" s="244">
        <v>8519</v>
      </c>
      <c r="E11" s="244">
        <v>8016</v>
      </c>
      <c r="F11" s="244">
        <v>7813</v>
      </c>
      <c r="G11" s="239">
        <v>7649</v>
      </c>
      <c r="H11" s="239">
        <v>3466</v>
      </c>
      <c r="I11" s="239">
        <v>3351</v>
      </c>
      <c r="J11" s="239">
        <v>3187</v>
      </c>
      <c r="K11" s="239">
        <v>3317</v>
      </c>
      <c r="L11" s="239" t="s">
        <v>135</v>
      </c>
    </row>
    <row r="12" spans="2:12" x14ac:dyDescent="0.3">
      <c r="B12" s="242" t="s">
        <v>56</v>
      </c>
      <c r="C12" s="244">
        <v>3051</v>
      </c>
      <c r="D12" s="244">
        <v>2932</v>
      </c>
      <c r="E12" s="244">
        <v>3521</v>
      </c>
      <c r="F12" s="244">
        <v>3372</v>
      </c>
      <c r="G12" s="239">
        <v>2882</v>
      </c>
      <c r="H12" s="239">
        <v>1113</v>
      </c>
      <c r="I12" s="239">
        <v>1339</v>
      </c>
      <c r="J12" s="239">
        <v>937</v>
      </c>
      <c r="K12" s="239">
        <v>1229</v>
      </c>
      <c r="L12" s="239" t="s">
        <v>135</v>
      </c>
    </row>
    <row r="13" spans="2:12" x14ac:dyDescent="0.3">
      <c r="B13" s="242" t="s">
        <v>57</v>
      </c>
      <c r="C13" s="244">
        <v>1446</v>
      </c>
      <c r="D13" s="244">
        <v>997</v>
      </c>
      <c r="E13" s="244">
        <v>335</v>
      </c>
      <c r="F13" s="244">
        <v>321</v>
      </c>
      <c r="G13" s="239">
        <v>411</v>
      </c>
      <c r="H13" s="239">
        <v>718</v>
      </c>
      <c r="I13" s="239">
        <v>766</v>
      </c>
      <c r="J13" s="239">
        <v>671</v>
      </c>
      <c r="K13" s="239">
        <v>821</v>
      </c>
      <c r="L13" s="239" t="s">
        <v>135</v>
      </c>
    </row>
    <row r="14" spans="2:12" ht="15" thickBot="1" x14ac:dyDescent="0.35">
      <c r="B14" s="26" t="s">
        <v>58</v>
      </c>
      <c r="C14" s="170">
        <v>140</v>
      </c>
      <c r="D14" s="170">
        <v>108</v>
      </c>
      <c r="E14" s="170">
        <v>73</v>
      </c>
      <c r="F14" s="170">
        <v>56</v>
      </c>
      <c r="G14" s="84">
        <v>89</v>
      </c>
      <c r="H14" s="84">
        <v>214</v>
      </c>
      <c r="I14" s="84">
        <v>72</v>
      </c>
      <c r="J14" s="84">
        <v>121</v>
      </c>
      <c r="K14" s="84">
        <v>61</v>
      </c>
      <c r="L14" s="84" t="s">
        <v>135</v>
      </c>
    </row>
    <row r="15" spans="2:12" x14ac:dyDescent="0.3">
      <c r="B15" s="213" t="s">
        <v>389</v>
      </c>
      <c r="C15" s="214">
        <f t="shared" ref="C15:J15" si="2">+SUM(C16:C21)</f>
        <v>221359</v>
      </c>
      <c r="D15" s="214">
        <f t="shared" si="2"/>
        <v>230305</v>
      </c>
      <c r="E15" s="214">
        <f t="shared" si="2"/>
        <v>222849</v>
      </c>
      <c r="F15" s="214">
        <f t="shared" si="2"/>
        <v>217543</v>
      </c>
      <c r="G15" s="214">
        <f t="shared" si="2"/>
        <v>217791</v>
      </c>
      <c r="H15" s="214">
        <f t="shared" si="2"/>
        <v>211502</v>
      </c>
      <c r="I15" s="214">
        <f t="shared" si="2"/>
        <v>201870</v>
      </c>
      <c r="J15" s="214">
        <f t="shared" si="2"/>
        <v>205874</v>
      </c>
      <c r="K15" s="214">
        <f t="shared" ref="K15" si="3">+SUM(K16:K21)</f>
        <v>224311</v>
      </c>
      <c r="L15" s="146" t="s">
        <v>135</v>
      </c>
    </row>
    <row r="16" spans="2:12" x14ac:dyDescent="0.3">
      <c r="B16" s="242" t="s">
        <v>387</v>
      </c>
      <c r="C16" s="244">
        <v>105043</v>
      </c>
      <c r="D16" s="244">
        <v>108828</v>
      </c>
      <c r="E16" s="244">
        <v>104824</v>
      </c>
      <c r="F16" s="244">
        <v>103926</v>
      </c>
      <c r="G16" s="239">
        <v>103725</v>
      </c>
      <c r="H16" s="239">
        <v>96722</v>
      </c>
      <c r="I16" s="239">
        <v>93157</v>
      </c>
      <c r="J16" s="239">
        <v>96570</v>
      </c>
      <c r="K16" s="239">
        <v>106853</v>
      </c>
      <c r="L16" s="239" t="s">
        <v>135</v>
      </c>
    </row>
    <row r="17" spans="2:12" x14ac:dyDescent="0.3">
      <c r="B17" s="242" t="s">
        <v>388</v>
      </c>
      <c r="C17" s="244">
        <v>69149</v>
      </c>
      <c r="D17" s="244">
        <v>71828</v>
      </c>
      <c r="E17" s="244">
        <v>69463</v>
      </c>
      <c r="F17" s="244">
        <v>66786</v>
      </c>
      <c r="G17" s="239">
        <v>67013</v>
      </c>
      <c r="H17" s="239">
        <v>63920</v>
      </c>
      <c r="I17" s="239">
        <v>60023</v>
      </c>
      <c r="J17" s="239">
        <v>62071</v>
      </c>
      <c r="K17" s="239">
        <v>64994</v>
      </c>
      <c r="L17" s="239" t="s">
        <v>135</v>
      </c>
    </row>
    <row r="18" spans="2:12" x14ac:dyDescent="0.3">
      <c r="B18" s="242" t="s">
        <v>55</v>
      </c>
      <c r="C18" s="244">
        <v>14926</v>
      </c>
      <c r="D18" s="244">
        <v>14904</v>
      </c>
      <c r="E18" s="244">
        <v>14294</v>
      </c>
      <c r="F18" s="244">
        <v>13933</v>
      </c>
      <c r="G18" s="239">
        <v>14090</v>
      </c>
      <c r="H18" s="239">
        <v>17312</v>
      </c>
      <c r="I18" s="239">
        <v>17004</v>
      </c>
      <c r="J18" s="239">
        <v>16734</v>
      </c>
      <c r="K18" s="239">
        <v>19723</v>
      </c>
      <c r="L18" s="239" t="s">
        <v>135</v>
      </c>
    </row>
    <row r="19" spans="2:12" x14ac:dyDescent="0.3">
      <c r="B19" s="242" t="s">
        <v>56</v>
      </c>
      <c r="C19" s="244">
        <v>8783</v>
      </c>
      <c r="D19" s="244">
        <v>8816</v>
      </c>
      <c r="E19" s="244">
        <v>7705</v>
      </c>
      <c r="F19" s="244">
        <v>7848</v>
      </c>
      <c r="G19" s="239">
        <v>8645</v>
      </c>
      <c r="H19" s="239">
        <v>10917</v>
      </c>
      <c r="I19" s="239">
        <v>9383</v>
      </c>
      <c r="J19" s="239">
        <v>9469</v>
      </c>
      <c r="K19" s="239">
        <v>9918</v>
      </c>
      <c r="L19" s="239" t="s">
        <v>135</v>
      </c>
    </row>
    <row r="20" spans="2:12" x14ac:dyDescent="0.3">
      <c r="B20" s="242" t="s">
        <v>57</v>
      </c>
      <c r="C20" s="244">
        <v>19734</v>
      </c>
      <c r="D20" s="244">
        <v>21523</v>
      </c>
      <c r="E20" s="244">
        <v>21929</v>
      </c>
      <c r="F20" s="244">
        <v>21102</v>
      </c>
      <c r="G20" s="239">
        <v>20333</v>
      </c>
      <c r="H20" s="239">
        <v>18970</v>
      </c>
      <c r="I20" s="239">
        <v>18801</v>
      </c>
      <c r="J20" s="239">
        <v>17956</v>
      </c>
      <c r="K20" s="239">
        <v>19619</v>
      </c>
      <c r="L20" s="239" t="s">
        <v>135</v>
      </c>
    </row>
    <row r="21" spans="2:12" x14ac:dyDescent="0.3">
      <c r="B21" s="270" t="s">
        <v>58</v>
      </c>
      <c r="C21" s="271">
        <v>3724</v>
      </c>
      <c r="D21" s="271">
        <v>4406</v>
      </c>
      <c r="E21" s="271">
        <v>4634</v>
      </c>
      <c r="F21" s="271">
        <v>3948</v>
      </c>
      <c r="G21" s="267">
        <v>3985</v>
      </c>
      <c r="H21" s="267">
        <v>3661</v>
      </c>
      <c r="I21" s="267">
        <v>3502</v>
      </c>
      <c r="J21" s="267">
        <v>3074</v>
      </c>
      <c r="K21" s="267">
        <v>3204</v>
      </c>
      <c r="L21" s="267" t="s">
        <v>135</v>
      </c>
    </row>
    <row r="22" spans="2:12" ht="15" thickBot="1" x14ac:dyDescent="0.35">
      <c r="B22" s="144" t="s">
        <v>390</v>
      </c>
      <c r="C22" s="73">
        <f t="shared" ref="C22:J22" si="4">+SUM(C8,C15)</f>
        <v>259004</v>
      </c>
      <c r="D22" s="73">
        <f t="shared" si="4"/>
        <v>265039</v>
      </c>
      <c r="E22" s="73">
        <f t="shared" si="4"/>
        <v>255328</v>
      </c>
      <c r="F22" s="73">
        <f t="shared" si="4"/>
        <v>248241</v>
      </c>
      <c r="G22" s="73">
        <f t="shared" si="4"/>
        <v>248145</v>
      </c>
      <c r="H22" s="73">
        <f t="shared" si="4"/>
        <v>230877</v>
      </c>
      <c r="I22" s="73">
        <f t="shared" si="4"/>
        <v>220309</v>
      </c>
      <c r="J22" s="73">
        <f t="shared" si="4"/>
        <v>224220</v>
      </c>
      <c r="K22" s="73">
        <f t="shared" ref="K22" si="5">+SUM(K8,K15)</f>
        <v>243008</v>
      </c>
      <c r="L22" s="308" t="s">
        <v>135</v>
      </c>
    </row>
    <row r="23" spans="2:12" x14ac:dyDescent="0.3">
      <c r="B23" s="79"/>
      <c r="C23" s="79"/>
      <c r="D23" s="79"/>
      <c r="E23" s="79"/>
      <c r="F23" s="79"/>
      <c r="G23" s="79"/>
      <c r="H23" s="42"/>
      <c r="I23" s="57"/>
      <c r="J23" s="57"/>
      <c r="K23" s="57"/>
      <c r="L23" s="57"/>
    </row>
    <row r="24" spans="2:12" x14ac:dyDescent="0.3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2:12" x14ac:dyDescent="0.3">
      <c r="B25" s="22" t="s">
        <v>391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2:12" x14ac:dyDescent="0.3"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</row>
    <row r="27" spans="2:12" ht="15" thickBot="1" x14ac:dyDescent="0.35">
      <c r="B27" s="169"/>
      <c r="C27" s="83">
        <f t="shared" ref="C27:J27" si="6">+C7</f>
        <v>2010</v>
      </c>
      <c r="D27" s="83">
        <f t="shared" si="6"/>
        <v>2011</v>
      </c>
      <c r="E27" s="83">
        <f t="shared" si="6"/>
        <v>2012</v>
      </c>
      <c r="F27" s="83">
        <f t="shared" si="6"/>
        <v>2013</v>
      </c>
      <c r="G27" s="83">
        <f t="shared" si="6"/>
        <v>2014</v>
      </c>
      <c r="H27" s="83">
        <f t="shared" si="6"/>
        <v>2015</v>
      </c>
      <c r="I27" s="83">
        <f t="shared" si="6"/>
        <v>2016</v>
      </c>
      <c r="J27" s="83">
        <f t="shared" si="6"/>
        <v>2017</v>
      </c>
      <c r="K27" s="83">
        <f t="shared" ref="K27" si="7">+K7</f>
        <v>2018</v>
      </c>
      <c r="L27" s="83">
        <v>2019</v>
      </c>
    </row>
    <row r="28" spans="2:12" x14ac:dyDescent="0.3">
      <c r="B28" s="196" t="s">
        <v>392</v>
      </c>
      <c r="C28" s="214">
        <f t="shared" ref="C28:J28" si="8">+SUM(C29:C33)</f>
        <v>34</v>
      </c>
      <c r="D28" s="214">
        <f t="shared" si="8"/>
        <v>27</v>
      </c>
      <c r="E28" s="214">
        <f t="shared" si="8"/>
        <v>17</v>
      </c>
      <c r="F28" s="214">
        <f t="shared" si="8"/>
        <v>11</v>
      </c>
      <c r="G28" s="214">
        <f t="shared" si="8"/>
        <v>10</v>
      </c>
      <c r="H28" s="214">
        <f t="shared" si="8"/>
        <v>10</v>
      </c>
      <c r="I28" s="214">
        <f t="shared" si="8"/>
        <v>10</v>
      </c>
      <c r="J28" s="214">
        <f t="shared" si="8"/>
        <v>16</v>
      </c>
      <c r="K28" s="214">
        <f t="shared" ref="K28:L28" si="9">+SUM(K29:K33)</f>
        <v>3</v>
      </c>
      <c r="L28" s="214">
        <f t="shared" si="9"/>
        <v>3</v>
      </c>
    </row>
    <row r="29" spans="2:12" x14ac:dyDescent="0.3">
      <c r="B29" s="242" t="s">
        <v>393</v>
      </c>
      <c r="C29" s="244">
        <v>2</v>
      </c>
      <c r="D29" s="244">
        <v>5</v>
      </c>
      <c r="E29" s="244">
        <v>3</v>
      </c>
      <c r="F29" s="244">
        <v>0</v>
      </c>
      <c r="G29" s="244">
        <v>0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</row>
    <row r="30" spans="2:12" x14ac:dyDescent="0.3">
      <c r="B30" s="242" t="s">
        <v>394</v>
      </c>
      <c r="C30" s="244">
        <v>2</v>
      </c>
      <c r="D30" s="244">
        <v>4</v>
      </c>
      <c r="E30" s="244">
        <v>3</v>
      </c>
      <c r="F30" s="244">
        <v>2</v>
      </c>
      <c r="G30" s="244">
        <v>1</v>
      </c>
      <c r="H30" s="244">
        <v>2</v>
      </c>
      <c r="I30" s="244">
        <v>1</v>
      </c>
      <c r="J30" s="244">
        <v>1</v>
      </c>
      <c r="K30" s="244">
        <v>1</v>
      </c>
      <c r="L30" s="244">
        <v>1</v>
      </c>
    </row>
    <row r="31" spans="2:12" x14ac:dyDescent="0.3">
      <c r="B31" s="242" t="s">
        <v>395</v>
      </c>
      <c r="C31" s="244">
        <v>5</v>
      </c>
      <c r="D31" s="244">
        <v>3</v>
      </c>
      <c r="E31" s="244">
        <v>3</v>
      </c>
      <c r="F31" s="244">
        <v>1</v>
      </c>
      <c r="G31" s="244">
        <v>1</v>
      </c>
      <c r="H31" s="244">
        <v>1</v>
      </c>
      <c r="I31" s="244">
        <v>1</v>
      </c>
      <c r="J31" s="244">
        <v>1</v>
      </c>
      <c r="K31" s="244">
        <v>0</v>
      </c>
      <c r="L31" s="244">
        <v>1</v>
      </c>
    </row>
    <row r="32" spans="2:12" x14ac:dyDescent="0.3">
      <c r="B32" s="242" t="s">
        <v>396</v>
      </c>
      <c r="C32" s="244">
        <v>14</v>
      </c>
      <c r="D32" s="244">
        <v>9</v>
      </c>
      <c r="E32" s="244">
        <v>5</v>
      </c>
      <c r="F32" s="244">
        <v>3</v>
      </c>
      <c r="G32" s="244">
        <v>3</v>
      </c>
      <c r="H32" s="244">
        <v>3</v>
      </c>
      <c r="I32" s="244">
        <v>2</v>
      </c>
      <c r="J32" s="244">
        <v>2</v>
      </c>
      <c r="K32" s="244">
        <v>2</v>
      </c>
      <c r="L32" s="244">
        <v>1</v>
      </c>
    </row>
    <row r="33" spans="2:12" ht="15" thickBot="1" x14ac:dyDescent="0.35">
      <c r="B33" s="270" t="s">
        <v>397</v>
      </c>
      <c r="C33" s="271">
        <v>11</v>
      </c>
      <c r="D33" s="271">
        <v>6</v>
      </c>
      <c r="E33" s="271">
        <v>3</v>
      </c>
      <c r="F33" s="271">
        <v>5</v>
      </c>
      <c r="G33" s="271">
        <v>5</v>
      </c>
      <c r="H33" s="271">
        <v>4</v>
      </c>
      <c r="I33" s="271">
        <v>6</v>
      </c>
      <c r="J33" s="271">
        <v>12</v>
      </c>
      <c r="K33" s="271">
        <v>0</v>
      </c>
      <c r="L33" s="271">
        <v>0</v>
      </c>
    </row>
    <row r="34" spans="2:12" x14ac:dyDescent="0.3">
      <c r="B34" s="27" t="s">
        <v>398</v>
      </c>
      <c r="C34" s="82">
        <f t="shared" ref="C34:J34" si="10">C35+C37</f>
        <v>1683</v>
      </c>
      <c r="D34" s="82">
        <f t="shared" si="10"/>
        <v>1336</v>
      </c>
      <c r="E34" s="82">
        <f t="shared" si="10"/>
        <v>1258</v>
      </c>
      <c r="F34" s="82">
        <f t="shared" si="10"/>
        <v>1625</v>
      </c>
      <c r="G34" s="82">
        <f t="shared" si="10"/>
        <v>1442</v>
      </c>
      <c r="H34" s="82">
        <f t="shared" si="10"/>
        <v>1226</v>
      </c>
      <c r="I34" s="82">
        <f t="shared" si="10"/>
        <v>1413</v>
      </c>
      <c r="J34" s="82">
        <f t="shared" si="10"/>
        <v>1844</v>
      </c>
      <c r="K34" s="82">
        <f t="shared" ref="K34:L34" si="11">K35+K37</f>
        <v>1191</v>
      </c>
      <c r="L34" s="82">
        <f t="shared" si="11"/>
        <v>1059</v>
      </c>
    </row>
    <row r="35" spans="2:12" x14ac:dyDescent="0.3">
      <c r="B35" s="242" t="s">
        <v>399</v>
      </c>
      <c r="C35" s="272">
        <v>1200</v>
      </c>
      <c r="D35" s="273">
        <v>963</v>
      </c>
      <c r="E35" s="273">
        <v>888</v>
      </c>
      <c r="F35" s="272">
        <v>1231</v>
      </c>
      <c r="G35" s="272">
        <v>985</v>
      </c>
      <c r="H35" s="272">
        <v>866</v>
      </c>
      <c r="I35" s="272">
        <v>1097</v>
      </c>
      <c r="J35" s="272">
        <v>1572</v>
      </c>
      <c r="K35" s="272">
        <v>920</v>
      </c>
      <c r="L35" s="272">
        <v>786</v>
      </c>
    </row>
    <row r="36" spans="2:12" x14ac:dyDescent="0.3">
      <c r="B36" s="274" t="s">
        <v>400</v>
      </c>
      <c r="C36" s="275" t="s">
        <v>142</v>
      </c>
      <c r="D36" s="276" t="s">
        <v>142</v>
      </c>
      <c r="E36" s="276" t="s">
        <v>142</v>
      </c>
      <c r="F36" s="275" t="s">
        <v>142</v>
      </c>
      <c r="G36" s="275" t="s">
        <v>142</v>
      </c>
      <c r="H36" s="275" t="s">
        <v>142</v>
      </c>
      <c r="I36" s="275" t="s">
        <v>142</v>
      </c>
      <c r="J36" s="277">
        <v>773</v>
      </c>
      <c r="K36" s="277">
        <v>274</v>
      </c>
      <c r="L36" s="277">
        <v>160</v>
      </c>
    </row>
    <row r="37" spans="2:12" ht="15" thickBot="1" x14ac:dyDescent="0.35">
      <c r="B37" s="26" t="s">
        <v>401</v>
      </c>
      <c r="C37" s="81">
        <v>483</v>
      </c>
      <c r="D37" s="81">
        <v>373</v>
      </c>
      <c r="E37" s="81">
        <v>370</v>
      </c>
      <c r="F37" s="81">
        <v>394</v>
      </c>
      <c r="G37" s="81">
        <v>457</v>
      </c>
      <c r="H37" s="81">
        <v>360</v>
      </c>
      <c r="I37" s="81">
        <v>316</v>
      </c>
      <c r="J37" s="80">
        <v>272</v>
      </c>
      <c r="K37" s="80">
        <v>271</v>
      </c>
      <c r="L37" s="80">
        <v>273</v>
      </c>
    </row>
    <row r="38" spans="2:12" x14ac:dyDescent="0.3">
      <c r="B38" s="79" t="s">
        <v>402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L28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58.6640625" style="1" customWidth="1"/>
    <col min="3" max="9" width="11.6640625" style="1" customWidth="1"/>
    <col min="10" max="11" width="11.6640625" style="7" customWidth="1"/>
    <col min="12" max="12" width="11.6640625" style="87" customWidth="1"/>
    <col min="13" max="16384" width="9.109375" style="1"/>
  </cols>
  <sheetData>
    <row r="2" spans="2:12" ht="17.399999999999999" x14ac:dyDescent="0.35">
      <c r="B2" s="152" t="s">
        <v>20</v>
      </c>
      <c r="C2" s="7"/>
      <c r="D2" s="7"/>
      <c r="E2" s="7"/>
      <c r="F2" s="7"/>
      <c r="G2" s="7"/>
      <c r="H2" s="7"/>
      <c r="I2" s="7"/>
    </row>
    <row r="3" spans="2:12" x14ac:dyDescent="0.3">
      <c r="B3" s="19"/>
    </row>
    <row r="4" spans="2:12" ht="15" thickBot="1" x14ac:dyDescent="0.35">
      <c r="B4" s="18"/>
      <c r="C4" s="17">
        <v>2010</v>
      </c>
      <c r="D4" s="17">
        <v>2011</v>
      </c>
      <c r="E4" s="17">
        <v>2012</v>
      </c>
      <c r="F4" s="16">
        <v>2013</v>
      </c>
      <c r="G4" s="17">
        <v>2014</v>
      </c>
      <c r="H4" s="17">
        <v>2015</v>
      </c>
      <c r="I4" s="17">
        <v>2016</v>
      </c>
      <c r="J4" s="16">
        <v>2017</v>
      </c>
      <c r="K4" s="16">
        <v>2018</v>
      </c>
      <c r="L4" s="16">
        <v>2019</v>
      </c>
    </row>
    <row r="5" spans="2:12" x14ac:dyDescent="0.3">
      <c r="B5" s="12" t="s">
        <v>21</v>
      </c>
      <c r="C5" s="15"/>
      <c r="D5" s="15"/>
      <c r="E5" s="15"/>
      <c r="F5" s="15"/>
      <c r="G5" s="15"/>
      <c r="H5" s="15"/>
      <c r="I5" s="15"/>
      <c r="J5" s="14"/>
      <c r="K5" s="14"/>
      <c r="L5" s="14"/>
    </row>
    <row r="6" spans="2:12" x14ac:dyDescent="0.3">
      <c r="B6" s="253" t="s">
        <v>22</v>
      </c>
      <c r="C6" s="254">
        <f>'Pàg. 2'!C21</f>
        <v>591</v>
      </c>
      <c r="D6" s="254">
        <f>'Pàg. 2'!D21</f>
        <v>612</v>
      </c>
      <c r="E6" s="254">
        <f>'Pàg. 2'!E21</f>
        <v>612</v>
      </c>
      <c r="F6" s="254">
        <f>'Pàg. 2'!F21</f>
        <v>612</v>
      </c>
      <c r="G6" s="254">
        <f>'Pàg. 2'!G21</f>
        <v>612</v>
      </c>
      <c r="H6" s="254">
        <f>'Pàg. 2'!H21</f>
        <v>613</v>
      </c>
      <c r="I6" s="254">
        <f>'Pàg. 2'!I21</f>
        <v>613</v>
      </c>
      <c r="J6" s="254">
        <f>'Pàg. 2'!J21</f>
        <v>613</v>
      </c>
      <c r="K6" s="254">
        <f>'Pàg. 2'!K21</f>
        <v>623</v>
      </c>
      <c r="L6" s="231">
        <f>'Pàg. 2'!L21</f>
        <v>629</v>
      </c>
    </row>
    <row r="7" spans="2:12" x14ac:dyDescent="0.3">
      <c r="B7" s="253" t="s">
        <v>23</v>
      </c>
      <c r="C7" s="254">
        <f>'Pàg. 2'!C22</f>
        <v>898</v>
      </c>
      <c r="D7" s="254">
        <f>'Pàg. 2'!D22</f>
        <v>898</v>
      </c>
      <c r="E7" s="254">
        <f>'Pàg. 2'!E22</f>
        <v>898</v>
      </c>
      <c r="F7" s="254">
        <f>'Pàg. 2'!F22</f>
        <v>898</v>
      </c>
      <c r="G7" s="254">
        <f>'Pàg. 2'!G22</f>
        <v>898</v>
      </c>
      <c r="H7" s="254">
        <f>'Pàg. 2'!H22</f>
        <v>898</v>
      </c>
      <c r="I7" s="254">
        <f>'Pàg. 2'!I22</f>
        <v>898</v>
      </c>
      <c r="J7" s="254">
        <f>'Pàg. 2'!J22</f>
        <v>898</v>
      </c>
      <c r="K7" s="254">
        <f>'Pàg. 2'!K22</f>
        <v>898</v>
      </c>
      <c r="L7" s="302">
        <v>898</v>
      </c>
    </row>
    <row r="8" spans="2:12" x14ac:dyDescent="0.3">
      <c r="B8" s="285" t="s">
        <v>24</v>
      </c>
      <c r="C8" s="286">
        <f>'Pàg. 2'!C23</f>
        <v>65</v>
      </c>
      <c r="D8" s="286">
        <f>'Pàg. 2'!D23</f>
        <v>65</v>
      </c>
      <c r="E8" s="286">
        <f>'Pàg. 2'!E23</f>
        <v>65</v>
      </c>
      <c r="F8" s="286">
        <f>'Pàg. 2'!F23</f>
        <v>67</v>
      </c>
      <c r="G8" s="286">
        <f>'Pàg. 2'!G23</f>
        <v>67</v>
      </c>
      <c r="H8" s="286">
        <f>'Pàg. 2'!H23</f>
        <v>67</v>
      </c>
      <c r="I8" s="286">
        <f>'Pàg. 2'!I23</f>
        <v>67</v>
      </c>
      <c r="J8" s="286">
        <f>'Pàg. 2'!J23</f>
        <v>67</v>
      </c>
      <c r="K8" s="286">
        <f>'Pàg. 2'!K23</f>
        <v>67</v>
      </c>
      <c r="L8" s="287">
        <f>'Pàg. 2'!L23</f>
        <v>67</v>
      </c>
    </row>
    <row r="9" spans="2:12" x14ac:dyDescent="0.3">
      <c r="B9" s="288" t="s">
        <v>25</v>
      </c>
      <c r="C9" s="289">
        <f>'Pàg. 3'!C32</f>
        <v>455959</v>
      </c>
      <c r="D9" s="289">
        <f>'Pàg. 3'!D32</f>
        <v>465576</v>
      </c>
      <c r="E9" s="289">
        <f>'Pàg. 3'!E32</f>
        <v>429491</v>
      </c>
      <c r="F9" s="289">
        <f>'Pàg. 3'!F32</f>
        <v>409529</v>
      </c>
      <c r="G9" s="289">
        <f>'Pàg. 3'!G32</f>
        <v>379659</v>
      </c>
      <c r="H9" s="289">
        <f>'Pàg. 3'!H32</f>
        <v>386971</v>
      </c>
      <c r="I9" s="289">
        <f>'Pàg. 3'!I32</f>
        <v>353601</v>
      </c>
      <c r="J9" s="289">
        <f>'Pàg. 3'!J32</f>
        <v>350106</v>
      </c>
      <c r="K9" s="289">
        <f>'Pàg. 3'!K32</f>
        <v>384475</v>
      </c>
      <c r="L9" s="290">
        <f>'Pàg. 3'!L32</f>
        <v>425344</v>
      </c>
    </row>
    <row r="10" spans="2:12" x14ac:dyDescent="0.3">
      <c r="B10" s="288" t="s">
        <v>26</v>
      </c>
      <c r="C10" s="289">
        <f>'Pàg. 3'!C62</f>
        <v>1440385</v>
      </c>
      <c r="D10" s="289">
        <f>'Pàg. 3'!D62</f>
        <v>1373904</v>
      </c>
      <c r="E10" s="289">
        <f>'Pàg. 3'!E62</f>
        <v>1373490</v>
      </c>
      <c r="F10" s="289">
        <f>'Pàg. 3'!F62</f>
        <v>1328030</v>
      </c>
      <c r="G10" s="289">
        <f>'Pàg. 3'!G62</f>
        <v>1303307</v>
      </c>
      <c r="H10" s="289">
        <f>'Pàg. 3'!H62</f>
        <v>1251210</v>
      </c>
      <c r="I10" s="289">
        <f>'Pàg. 3'!I62</f>
        <v>849738</v>
      </c>
      <c r="J10" s="289">
        <f>'Pàg. 3'!J62</f>
        <v>898959</v>
      </c>
      <c r="K10" s="289">
        <f>'Pàg. 3'!K62</f>
        <v>933216</v>
      </c>
      <c r="L10" s="290">
        <f>'Pàg. 3'!L62</f>
        <v>1016800</v>
      </c>
    </row>
    <row r="11" spans="2:12" x14ac:dyDescent="0.3">
      <c r="B11" s="288" t="s">
        <v>27</v>
      </c>
      <c r="C11" s="289">
        <f>'Pàg. 3'!C92</f>
        <v>1435141</v>
      </c>
      <c r="D11" s="289">
        <f>'Pàg. 3'!D92</f>
        <v>1412970</v>
      </c>
      <c r="E11" s="289">
        <f>'Pàg. 3'!E92</f>
        <v>1399602</v>
      </c>
      <c r="F11" s="289">
        <f>'Pàg. 3'!F92</f>
        <v>1365899</v>
      </c>
      <c r="G11" s="289">
        <f>'Pàg. 3'!G92</f>
        <v>1323596</v>
      </c>
      <c r="H11" s="289">
        <f>'Pàg. 3'!H92</f>
        <v>1308755</v>
      </c>
      <c r="I11" s="289">
        <f>'Pàg. 3'!I92</f>
        <v>863481</v>
      </c>
      <c r="J11" s="289">
        <f>'Pàg. 3'!J92</f>
        <v>873708</v>
      </c>
      <c r="K11" s="289">
        <f>'Pàg. 3'!K92</f>
        <v>901677</v>
      </c>
      <c r="L11" s="290">
        <f>'Pàg. 3'!L92</f>
        <v>964948</v>
      </c>
    </row>
    <row r="12" spans="2:12" x14ac:dyDescent="0.3">
      <c r="B12" s="288" t="s">
        <v>28</v>
      </c>
      <c r="C12" s="289">
        <f>'Pàg. 3'!C122</f>
        <v>465874</v>
      </c>
      <c r="D12" s="289">
        <f>'Pàg. 3'!D122</f>
        <v>429038</v>
      </c>
      <c r="E12" s="289">
        <f>'Pàg. 3'!E122</f>
        <v>409540</v>
      </c>
      <c r="F12" s="289">
        <f>'Pàg. 3'!F122</f>
        <v>384284</v>
      </c>
      <c r="G12" s="289">
        <f>'Pàg. 3'!G122</f>
        <v>378663</v>
      </c>
      <c r="H12" s="289">
        <f>'Pàg. 3'!H122</f>
        <v>354318</v>
      </c>
      <c r="I12" s="289">
        <f>'Pàg. 3'!I122</f>
        <v>350065</v>
      </c>
      <c r="J12" s="289">
        <f>'Pàg. 3'!J122</f>
        <v>384674</v>
      </c>
      <c r="K12" s="289">
        <f>'Pàg. 3'!K122</f>
        <v>422909</v>
      </c>
      <c r="L12" s="290">
        <f>'Pàg. 3'!L122</f>
        <v>485591</v>
      </c>
    </row>
    <row r="13" spans="2:12" x14ac:dyDescent="0.3">
      <c r="B13" s="253" t="s">
        <v>29</v>
      </c>
      <c r="C13" s="221">
        <f>Pàg.5!C75</f>
        <v>522503105.47999996</v>
      </c>
      <c r="D13" s="221">
        <f>Pàg.5!D75</f>
        <v>461646096.53000003</v>
      </c>
      <c r="E13" s="221">
        <f>Pàg.5!E75</f>
        <v>442351524.18000001</v>
      </c>
      <c r="F13" s="221">
        <f>Pàg.5!F75</f>
        <v>442671794.65000004</v>
      </c>
      <c r="G13" s="221">
        <f>Pàg.5!G75</f>
        <v>398213910.13999999</v>
      </c>
      <c r="H13" s="221">
        <f>Pàg.5!H75</f>
        <v>407255550.94</v>
      </c>
      <c r="I13" s="221">
        <f>Pàg.5!I75</f>
        <v>454976783.42000008</v>
      </c>
      <c r="J13" s="221">
        <f>Pàg.5!J75</f>
        <v>494280378.75999999</v>
      </c>
      <c r="K13" s="221">
        <f>Pàg.5!K75</f>
        <v>494280378.75999999</v>
      </c>
      <c r="L13" s="223">
        <f>Pàg.5!L75</f>
        <v>492547954.61999995</v>
      </c>
    </row>
    <row r="14" spans="2:12" ht="15" thickBot="1" x14ac:dyDescent="0.35">
      <c r="B14" s="32" t="s">
        <v>30</v>
      </c>
      <c r="C14" s="221">
        <f>Pàg.5!C77</f>
        <v>499333198.51000005</v>
      </c>
      <c r="D14" s="221">
        <f>Pàg.5!D77</f>
        <v>493946019.26000005</v>
      </c>
      <c r="E14" s="221">
        <f>Pàg.5!E77</f>
        <v>474619340.22000009</v>
      </c>
      <c r="F14" s="221">
        <f>Pàg.5!F77</f>
        <v>419850088.12000006</v>
      </c>
      <c r="G14" s="221">
        <f>Pàg.5!G77</f>
        <v>405035523.86999995</v>
      </c>
      <c r="H14" s="221">
        <f>Pàg.5!H77</f>
        <v>429221314.40000004</v>
      </c>
      <c r="I14" s="221">
        <f>Pàg.5!I77</f>
        <v>494608935.59000003</v>
      </c>
      <c r="J14" s="221">
        <f>Pàg.5!J77</f>
        <v>493541000</v>
      </c>
      <c r="K14" s="221">
        <f>Pàg.5!K77</f>
        <v>497321000</v>
      </c>
      <c r="L14" s="223">
        <f>Pàg.5!L77</f>
        <v>513759840.15999979</v>
      </c>
    </row>
    <row r="15" spans="2:12" x14ac:dyDescent="0.3">
      <c r="B15" s="12" t="s">
        <v>31</v>
      </c>
      <c r="C15" s="11"/>
      <c r="D15" s="11"/>
      <c r="E15" s="11"/>
      <c r="F15" s="11"/>
      <c r="G15" s="11"/>
      <c r="H15" s="11"/>
      <c r="I15" s="11"/>
      <c r="J15" s="11"/>
      <c r="K15" s="11"/>
      <c r="L15" s="187"/>
    </row>
    <row r="16" spans="2:12" x14ac:dyDescent="0.3">
      <c r="B16" s="288" t="s">
        <v>32</v>
      </c>
      <c r="C16" s="289">
        <f>'Pàg. 2'!C8</f>
        <v>12711.304568527919</v>
      </c>
      <c r="D16" s="289">
        <f>'Pàg. 2'!D8</f>
        <v>12319.637254901962</v>
      </c>
      <c r="E16" s="289">
        <f>'Pàg. 2'!E8</f>
        <v>12369.441176470587</v>
      </c>
      <c r="F16" s="289">
        <f>'Pàg. 2'!F8</f>
        <v>12342.565359477125</v>
      </c>
      <c r="G16" s="289">
        <f>'Pàg. 2'!G8</f>
        <v>12285.789215686274</v>
      </c>
      <c r="H16" s="289">
        <f>'Pàg. 2'!H8</f>
        <v>12248.133768352365</v>
      </c>
      <c r="I16" s="289">
        <f>'Pàg. 2'!I8</f>
        <v>12271.771615008156</v>
      </c>
      <c r="J16" s="289">
        <f>'Pàg. 2'!J8</f>
        <v>12325.986949429038</v>
      </c>
      <c r="K16" s="289">
        <f>'Pàg. 2'!K8</f>
        <v>12199.14125200642</v>
      </c>
      <c r="L16" s="290">
        <f>'Pàg. 2'!L8</f>
        <v>12202.252782193958</v>
      </c>
    </row>
    <row r="17" spans="2:12" x14ac:dyDescent="0.3">
      <c r="B17" s="288" t="s">
        <v>33</v>
      </c>
      <c r="C17" s="290">
        <f>Pàg.5!C9</f>
        <v>9820.105882352942</v>
      </c>
      <c r="D17" s="290">
        <f>Pàg.5!D9</f>
        <v>9855.7098039215689</v>
      </c>
      <c r="E17" s="290">
        <f>Pàg.5!E9</f>
        <v>9895.552941176471</v>
      </c>
      <c r="F17" s="290">
        <f>Pàg.5!F9</f>
        <v>9874.0522875816987</v>
      </c>
      <c r="G17" s="290">
        <f>Pàg.5!G9</f>
        <v>9828.6313725490199</v>
      </c>
      <c r="H17" s="290">
        <f>Pàg.5!H9</f>
        <v>9269.2666666666664</v>
      </c>
      <c r="I17" s="290">
        <f>Pàg.5!I9</f>
        <v>9287.1555555555551</v>
      </c>
      <c r="J17" s="290">
        <f>Pàg.5!J9</f>
        <v>9293.7638376383766</v>
      </c>
      <c r="K17" s="290">
        <f>Pàg.5!K9</f>
        <v>9234.5868772782505</v>
      </c>
      <c r="L17" s="290">
        <f>Pàg.5!L9</f>
        <v>9225.0204326923085</v>
      </c>
    </row>
    <row r="18" spans="2:12" x14ac:dyDescent="0.3">
      <c r="B18" s="288" t="s">
        <v>34</v>
      </c>
      <c r="C18" s="291">
        <f>Pàg.5!C10</f>
        <v>10.183189590623799</v>
      </c>
      <c r="D18" s="291">
        <f>Pàg.5!D10</f>
        <v>10.146402642680306</v>
      </c>
      <c r="E18" s="291">
        <f>Pàg.5!E10</f>
        <v>10.10554949222586</v>
      </c>
      <c r="F18" s="291">
        <f>Pàg.5!F10</f>
        <v>10.12755422875034</v>
      </c>
      <c r="G18" s="291">
        <f>Pàg.5!G10</f>
        <v>10.174356551746977</v>
      </c>
      <c r="H18" s="291">
        <f>Pàg.5!H10</f>
        <v>10.788339962168887</v>
      </c>
      <c r="I18" s="291">
        <f>Pàg.5!I10</f>
        <v>10.767559496748197</v>
      </c>
      <c r="J18" s="291">
        <f>Pàg.5!J10</f>
        <v>10.759903279983801</v>
      </c>
      <c r="K18" s="291">
        <f>Pàg.5!K10</f>
        <v>10.828854753215927</v>
      </c>
      <c r="L18" s="292">
        <f>Pàg.5!L10</f>
        <v>10.8400843910993</v>
      </c>
    </row>
    <row r="19" spans="2:12" x14ac:dyDescent="0.3">
      <c r="B19" s="288" t="s">
        <v>35</v>
      </c>
      <c r="C19" s="289">
        <f>'Pàg. 2'!C9</f>
        <v>3317.8106904231627</v>
      </c>
      <c r="D19" s="289">
        <f>'Pàg. 2'!D9</f>
        <v>3344.4287305122493</v>
      </c>
      <c r="E19" s="289">
        <f>'Pàg. 2'!E9</f>
        <v>3362.9276169265036</v>
      </c>
      <c r="F19" s="289">
        <f>'Pàg. 2'!F9</f>
        <v>3364.891982182628</v>
      </c>
      <c r="G19" s="289">
        <f>'Pàg. 2'!G9</f>
        <v>3351.0244988864142</v>
      </c>
      <c r="H19" s="289">
        <f>'Pàg. 2'!H9</f>
        <v>3347.8463251670378</v>
      </c>
      <c r="I19" s="289">
        <f>'Pàg. 2'!I9</f>
        <v>3351.9510022271716</v>
      </c>
      <c r="J19" s="289">
        <f>'Pàg. 2'!J9</f>
        <v>3363.8830734966591</v>
      </c>
      <c r="K19" s="289">
        <f>'Pàg. 2'!K9</f>
        <v>3387.3151447661471</v>
      </c>
      <c r="L19" s="290">
        <v>3418.89</v>
      </c>
    </row>
    <row r="20" spans="2:12" x14ac:dyDescent="0.3">
      <c r="B20" s="288" t="s">
        <v>36</v>
      </c>
      <c r="C20" s="278">
        <f>'Pàg. 2'!C10</f>
        <v>0.39659782963616996</v>
      </c>
      <c r="D20" s="278">
        <f>'Pàg. 2'!D10</f>
        <v>0.39833543290920043</v>
      </c>
      <c r="E20" s="278">
        <f>'Pàg. 2'!E10</f>
        <v>0.3989260112616772</v>
      </c>
      <c r="F20" s="278">
        <f>'Pàg. 2'!F10</f>
        <v>0.40002819828824476</v>
      </c>
      <c r="G20" s="278">
        <f>'Pàg. 2'!G10</f>
        <v>0.40022061728951686</v>
      </c>
      <c r="H20" s="278">
        <f>'Pàg. 2'!H10</f>
        <v>0.40041603035439299</v>
      </c>
      <c r="I20" s="278">
        <f>'Pàg. 2'!I10</f>
        <v>0.40013474071982597</v>
      </c>
      <c r="J20" s="278">
        <f>'Pàg. 2'!J10</f>
        <v>0.39979287517056367</v>
      </c>
      <c r="K20" s="278">
        <f>'Pàg. 2'!K10</f>
        <v>0.4002346032566827</v>
      </c>
      <c r="L20" s="279">
        <f>'Pàg. 2'!L10</f>
        <v>0.4000103189264877</v>
      </c>
    </row>
    <row r="21" spans="2:12" x14ac:dyDescent="0.3">
      <c r="B21" s="288" t="s">
        <v>37</v>
      </c>
      <c r="C21" s="293">
        <f>Pàg.5!C12</f>
        <v>66.468034370195028</v>
      </c>
      <c r="D21" s="293">
        <f>Pàg.5!D12</f>
        <v>65.513401243935704</v>
      </c>
      <c r="E21" s="293">
        <f>Pàg.5!E12</f>
        <v>62.696591275304506</v>
      </c>
      <c r="F21" s="293">
        <f>Pàg.5!F12</f>
        <v>55.582412227201431</v>
      </c>
      <c r="G21" s="293">
        <f>Pàg.5!G12</f>
        <v>53.868965176169972</v>
      </c>
      <c r="H21" s="293">
        <f>Pàg.5!H12</f>
        <v>57.167721713039221</v>
      </c>
      <c r="I21" s="293">
        <f>Pàg.5!I12</f>
        <v>65.749767180106446</v>
      </c>
      <c r="J21" s="293">
        <f>Pàg.5!J12</f>
        <v>65.319230316192929</v>
      </c>
      <c r="K21" s="293">
        <f>Pàg.5!K12</f>
        <v>65.436414030669468</v>
      </c>
      <c r="L21" s="294">
        <f>Pàg.5!L12</f>
        <v>66.937500289568334</v>
      </c>
    </row>
    <row r="22" spans="2:12" x14ac:dyDescent="0.3">
      <c r="B22" s="288" t="s">
        <v>38</v>
      </c>
      <c r="C22" s="293">
        <f>Pàg.5!C13</f>
        <v>8.9489588840076131</v>
      </c>
      <c r="D22" s="293">
        <f>Pàg.5!D13</f>
        <v>8.6804577035600463</v>
      </c>
      <c r="E22" s="293">
        <f>Pàg.5!E13</f>
        <v>7.9290182438853511</v>
      </c>
      <c r="F22" s="293">
        <f>Pàg.5!F13</f>
        <v>7.9939556307215733</v>
      </c>
      <c r="G22" s="293">
        <f>Pàg.5!G13</f>
        <v>8.0788348486474693</v>
      </c>
      <c r="H22" s="293">
        <f>Pàg.5!H13</f>
        <v>7.8581012921234734</v>
      </c>
      <c r="I22" s="293">
        <f>Pàg.5!I13</f>
        <v>8.0919373445018188</v>
      </c>
      <c r="J22" s="293">
        <f>Pàg.5!J13</f>
        <v>8.2675880743743573</v>
      </c>
      <c r="K22" s="293">
        <f>Pàg.5!K13</f>
        <v>8.4650274109497747</v>
      </c>
      <c r="L22" s="294">
        <f>Pàg.5!L13</f>
        <v>8.5500390373327555</v>
      </c>
    </row>
    <row r="23" spans="2:12" x14ac:dyDescent="0.3">
      <c r="B23" s="288" t="s">
        <v>39</v>
      </c>
      <c r="C23" s="295">
        <f>C10/'Pàg. 2'!C11*1000</f>
        <v>191.73481749660994</v>
      </c>
      <c r="D23" s="295">
        <f>D10/'Pàg. 2'!D11*1000</f>
        <v>182.2246166848241</v>
      </c>
      <c r="E23" s="295">
        <f>E10/'Pàg. 2'!E11*1000</f>
        <v>181.43622447159865</v>
      </c>
      <c r="F23" s="295">
        <f>F10/'Pàg. 2'!F11*1000</f>
        <v>175.81301754780802</v>
      </c>
      <c r="G23" s="295">
        <f>G10/'Pàg. 2'!G11*1000</f>
        <v>173.33738711617906</v>
      </c>
      <c r="H23" s="295">
        <f>H10/'Pàg. 2'!H11*1000</f>
        <v>166.64788696376957</v>
      </c>
      <c r="I23" s="295">
        <f>I10/'Pàg. 2'!I11*1000</f>
        <v>112.95807989688666</v>
      </c>
      <c r="J23" s="295">
        <f>J10/'Pàg. 2'!J11*1000</f>
        <v>118.97554603531313</v>
      </c>
      <c r="K23" s="295">
        <f>K10/'Pàg. 2'!K11*1000</f>
        <v>122.79052876521452</v>
      </c>
      <c r="L23" s="296">
        <f>IFERROR(L10/'Pàg. 2'!L11*1000,0)</f>
        <v>132.47833904891547</v>
      </c>
    </row>
    <row r="24" spans="2:12" x14ac:dyDescent="0.3">
      <c r="B24" s="288" t="s">
        <v>40</v>
      </c>
      <c r="C24" s="293">
        <f t="shared" ref="C24:K24" si="0">+C12/C11</f>
        <v>0.32461897472095075</v>
      </c>
      <c r="D24" s="293">
        <f t="shared" si="0"/>
        <v>0.30364268172714209</v>
      </c>
      <c r="E24" s="293">
        <f t="shared" si="0"/>
        <v>0.29261175677085344</v>
      </c>
      <c r="F24" s="293">
        <f t="shared" si="0"/>
        <v>0.28134144618306334</v>
      </c>
      <c r="G24" s="293">
        <f t="shared" si="0"/>
        <v>0.28608654000163192</v>
      </c>
      <c r="H24" s="293">
        <f t="shared" si="0"/>
        <v>0.27072905165596312</v>
      </c>
      <c r="I24" s="293">
        <f t="shared" si="0"/>
        <v>0.4054113524211882</v>
      </c>
      <c r="J24" s="293">
        <f t="shared" si="0"/>
        <v>0.44027752979256229</v>
      </c>
      <c r="K24" s="293">
        <f t="shared" si="0"/>
        <v>0.46902493908572584</v>
      </c>
      <c r="L24" s="294">
        <f>IFERROR(+L12/L11,0)</f>
        <v>0.50323022587745658</v>
      </c>
    </row>
    <row r="25" spans="2:12" x14ac:dyDescent="0.3">
      <c r="B25" s="288" t="s">
        <v>41</v>
      </c>
      <c r="C25" s="293">
        <f t="shared" ref="C25:K25" si="1">+C11/C10</f>
        <v>0.99635930671313577</v>
      </c>
      <c r="D25" s="293">
        <f t="shared" si="1"/>
        <v>1.0284343010865389</v>
      </c>
      <c r="E25" s="293">
        <f t="shared" si="1"/>
        <v>1.0190114234541205</v>
      </c>
      <c r="F25" s="293">
        <f t="shared" si="1"/>
        <v>1.0285151690850358</v>
      </c>
      <c r="G25" s="293">
        <f t="shared" si="1"/>
        <v>1.0155673222042083</v>
      </c>
      <c r="H25" s="293">
        <f t="shared" si="1"/>
        <v>1.0459914802471209</v>
      </c>
      <c r="I25" s="293">
        <f t="shared" si="1"/>
        <v>1.0161732204514804</v>
      </c>
      <c r="J25" s="293">
        <f t="shared" si="1"/>
        <v>0.97191084354236401</v>
      </c>
      <c r="K25" s="293">
        <f t="shared" si="1"/>
        <v>0.96620396564139488</v>
      </c>
      <c r="L25" s="294">
        <f>IFERROR(+L11/L10,0)</f>
        <v>0.94900472069236819</v>
      </c>
    </row>
    <row r="26" spans="2:12" ht="15" thickBot="1" x14ac:dyDescent="0.35">
      <c r="B26" s="9" t="s">
        <v>42</v>
      </c>
      <c r="C26" s="8">
        <f t="shared" ref="C26:K26" si="2">+(C9+C10)/C11</f>
        <v>1.321364242259123</v>
      </c>
      <c r="D26" s="8">
        <f t="shared" si="2"/>
        <v>1.3018535425380582</v>
      </c>
      <c r="E26" s="8">
        <f t="shared" si="2"/>
        <v>1.2882097910691754</v>
      </c>
      <c r="F26" s="8">
        <f t="shared" si="2"/>
        <v>1.2720991815646692</v>
      </c>
      <c r="G26" s="8">
        <f t="shared" si="2"/>
        <v>1.2715103400131158</v>
      </c>
      <c r="H26" s="8">
        <f t="shared" si="2"/>
        <v>1.2517094490565461</v>
      </c>
      <c r="I26" s="8">
        <f t="shared" si="2"/>
        <v>1.3935905943500784</v>
      </c>
      <c r="J26" s="8">
        <f t="shared" si="2"/>
        <v>1.4296137840102185</v>
      </c>
      <c r="K26" s="8">
        <f t="shared" si="2"/>
        <v>1.4613780766283271</v>
      </c>
      <c r="L26" s="188">
        <f>IFERROR(+(L9+L10)/L11,0)</f>
        <v>1.4945302752065397</v>
      </c>
    </row>
    <row r="28" spans="2:12" x14ac:dyDescent="0.3">
      <c r="B28" s="1" t="s">
        <v>43</v>
      </c>
    </row>
  </sheetData>
  <pageMargins left="0.74803149606299213" right="0.74803149606299213" top="0.98425196850393704" bottom="0.98425196850393704" header="0" footer="0"/>
  <pageSetup paperSize="9" scale="82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L59"/>
  <sheetViews>
    <sheetView zoomScaleNormal="100" workbookViewId="0"/>
  </sheetViews>
  <sheetFormatPr defaultColWidth="9.109375" defaultRowHeight="14.4" x14ac:dyDescent="0.3"/>
  <cols>
    <col min="1" max="1" width="9.109375" style="7"/>
    <col min="2" max="2" width="58.6640625" style="7" customWidth="1"/>
    <col min="3" max="12" width="11.6640625" style="7" customWidth="1"/>
    <col min="13" max="16384" width="9.109375" style="7"/>
  </cols>
  <sheetData>
    <row r="2" spans="2:12" ht="17.399999999999999" x14ac:dyDescent="0.35">
      <c r="B2" s="152" t="s">
        <v>44</v>
      </c>
      <c r="C2" s="34"/>
      <c r="D2" s="34"/>
    </row>
    <row r="5" spans="2:12" x14ac:dyDescent="0.3">
      <c r="B5" s="22" t="s">
        <v>45</v>
      </c>
      <c r="C5" s="90"/>
      <c r="D5" s="90"/>
      <c r="E5" s="90"/>
      <c r="F5" s="90"/>
      <c r="G5" s="91"/>
      <c r="H5" s="91"/>
      <c r="I5" s="87"/>
      <c r="J5" s="87"/>
      <c r="K5" s="87"/>
      <c r="L5" s="87"/>
    </row>
    <row r="6" spans="2:12" x14ac:dyDescent="0.3">
      <c r="B6" s="153"/>
      <c r="C6" s="90"/>
      <c r="D6" s="90"/>
      <c r="E6" s="90"/>
      <c r="F6" s="90"/>
      <c r="G6" s="91"/>
      <c r="H6" s="91"/>
      <c r="I6" s="87"/>
      <c r="J6" s="87"/>
      <c r="K6" s="87"/>
      <c r="L6" s="87"/>
    </row>
    <row r="7" spans="2:12" ht="15" thickBot="1" x14ac:dyDescent="0.35">
      <c r="B7" s="154"/>
      <c r="C7" s="94">
        <v>2010</v>
      </c>
      <c r="D7" s="94">
        <v>2011</v>
      </c>
      <c r="E7" s="94">
        <v>2012</v>
      </c>
      <c r="F7" s="94">
        <v>2013</v>
      </c>
      <c r="G7" s="94">
        <v>2014</v>
      </c>
      <c r="H7" s="94">
        <v>2015</v>
      </c>
      <c r="I7" s="94">
        <v>2016</v>
      </c>
      <c r="J7" s="94">
        <v>2017</v>
      </c>
      <c r="K7" s="94">
        <v>2018</v>
      </c>
      <c r="L7" s="94">
        <v>2019</v>
      </c>
    </row>
    <row r="8" spans="2:12" x14ac:dyDescent="0.3">
      <c r="B8" s="253" t="s">
        <v>32</v>
      </c>
      <c r="C8" s="231">
        <f t="shared" ref="C8:L8" si="0">IFERROR(+C11/C21,"-")</f>
        <v>12711.304568527919</v>
      </c>
      <c r="D8" s="231">
        <f t="shared" si="0"/>
        <v>12319.637254901962</v>
      </c>
      <c r="E8" s="231">
        <f t="shared" si="0"/>
        <v>12369.441176470587</v>
      </c>
      <c r="F8" s="231">
        <f t="shared" si="0"/>
        <v>12342.565359477125</v>
      </c>
      <c r="G8" s="231">
        <f t="shared" si="0"/>
        <v>12285.789215686274</v>
      </c>
      <c r="H8" s="231">
        <f t="shared" si="0"/>
        <v>12248.133768352365</v>
      </c>
      <c r="I8" s="231">
        <f t="shared" si="0"/>
        <v>12271.771615008156</v>
      </c>
      <c r="J8" s="231">
        <f t="shared" si="0"/>
        <v>12325.986949429038</v>
      </c>
      <c r="K8" s="231">
        <f t="shared" si="0"/>
        <v>12199.14125200642</v>
      </c>
      <c r="L8" s="231">
        <f t="shared" si="0"/>
        <v>12202.252782193958</v>
      </c>
    </row>
    <row r="9" spans="2:12" x14ac:dyDescent="0.3">
      <c r="B9" s="253" t="s">
        <v>35</v>
      </c>
      <c r="C9" s="254">
        <f t="shared" ref="C9:L9" si="1">IFERROR(+C12/C22,"-")</f>
        <v>3317.8106904231627</v>
      </c>
      <c r="D9" s="254">
        <f t="shared" si="1"/>
        <v>3344.4287305122493</v>
      </c>
      <c r="E9" s="254">
        <f t="shared" si="1"/>
        <v>3362.9276169265036</v>
      </c>
      <c r="F9" s="254">
        <f t="shared" si="1"/>
        <v>3364.891982182628</v>
      </c>
      <c r="G9" s="254">
        <f t="shared" si="1"/>
        <v>3351.0244988864142</v>
      </c>
      <c r="H9" s="254">
        <f t="shared" si="1"/>
        <v>3347.8463251670378</v>
      </c>
      <c r="I9" s="254">
        <f t="shared" si="1"/>
        <v>3351.9510022271716</v>
      </c>
      <c r="J9" s="254">
        <f t="shared" si="1"/>
        <v>3363.8830734966591</v>
      </c>
      <c r="K9" s="254">
        <f t="shared" si="1"/>
        <v>3387.3151447661471</v>
      </c>
      <c r="L9" s="254">
        <f t="shared" si="1"/>
        <v>3418.8930957683742</v>
      </c>
    </row>
    <row r="10" spans="2:12" x14ac:dyDescent="0.3">
      <c r="B10" s="194" t="s">
        <v>36</v>
      </c>
      <c r="C10" s="304">
        <f t="shared" ref="C10:K10" si="2">+C12/C11</f>
        <v>0.39659782963616996</v>
      </c>
      <c r="D10" s="304">
        <f t="shared" si="2"/>
        <v>0.39833543290920043</v>
      </c>
      <c r="E10" s="304">
        <f t="shared" si="2"/>
        <v>0.3989260112616772</v>
      </c>
      <c r="F10" s="304">
        <f t="shared" si="2"/>
        <v>0.40002819828824476</v>
      </c>
      <c r="G10" s="304">
        <f t="shared" si="2"/>
        <v>0.40022061728951686</v>
      </c>
      <c r="H10" s="304">
        <f t="shared" si="2"/>
        <v>0.40041603035439299</v>
      </c>
      <c r="I10" s="304">
        <f t="shared" si="2"/>
        <v>0.40013474071982597</v>
      </c>
      <c r="J10" s="304">
        <f t="shared" si="2"/>
        <v>0.39979287517056367</v>
      </c>
      <c r="K10" s="304">
        <f t="shared" si="2"/>
        <v>0.4002346032566827</v>
      </c>
      <c r="L10" s="304">
        <f>IFERROR(+L12/L11,"-")</f>
        <v>0.4000103189264877</v>
      </c>
    </row>
    <row r="11" spans="2:12" x14ac:dyDescent="0.3">
      <c r="B11" s="193" t="s">
        <v>46</v>
      </c>
      <c r="C11" s="280">
        <v>7512381</v>
      </c>
      <c r="D11" s="280">
        <v>7539618</v>
      </c>
      <c r="E11" s="280">
        <v>7570098</v>
      </c>
      <c r="F11" s="280">
        <v>7553650</v>
      </c>
      <c r="G11" s="280">
        <v>7518903</v>
      </c>
      <c r="H11" s="280">
        <v>7508106</v>
      </c>
      <c r="I11" s="280">
        <v>7522596</v>
      </c>
      <c r="J11" s="280">
        <v>7555830</v>
      </c>
      <c r="K11" s="280">
        <v>7600065</v>
      </c>
      <c r="L11" s="280">
        <v>7675217</v>
      </c>
    </row>
    <row r="12" spans="2:12" ht="15" thickBot="1" x14ac:dyDescent="0.35">
      <c r="B12" s="281" t="s">
        <v>47</v>
      </c>
      <c r="C12" s="280">
        <v>2979394</v>
      </c>
      <c r="D12" s="280">
        <v>3003297</v>
      </c>
      <c r="E12" s="280">
        <v>3019909</v>
      </c>
      <c r="F12" s="280">
        <v>3021673</v>
      </c>
      <c r="G12" s="280">
        <v>3009220</v>
      </c>
      <c r="H12" s="280">
        <v>3006366</v>
      </c>
      <c r="I12" s="280">
        <v>3010052</v>
      </c>
      <c r="J12" s="280">
        <v>3020767</v>
      </c>
      <c r="K12" s="280">
        <v>3041809</v>
      </c>
      <c r="L12" s="280">
        <v>3070166</v>
      </c>
    </row>
    <row r="13" spans="2:12" x14ac:dyDescent="0.3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</row>
    <row r="14" spans="2:12" x14ac:dyDescent="0.3">
      <c r="B14" s="115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2:12" x14ac:dyDescent="0.3">
      <c r="B15" s="22" t="s">
        <v>48</v>
      </c>
    </row>
    <row r="16" spans="2:12" x14ac:dyDescent="0.3">
      <c r="B16" s="79"/>
    </row>
    <row r="17" spans="2:12" ht="15" thickBot="1" x14ac:dyDescent="0.35">
      <c r="B17" s="36"/>
      <c r="C17" s="16">
        <v>2010</v>
      </c>
      <c r="D17" s="16">
        <v>2011</v>
      </c>
      <c r="E17" s="16">
        <v>2012</v>
      </c>
      <c r="F17" s="16">
        <v>2013</v>
      </c>
      <c r="G17" s="16">
        <v>2014</v>
      </c>
      <c r="H17" s="16">
        <v>2015</v>
      </c>
      <c r="I17" s="16">
        <v>2016</v>
      </c>
      <c r="J17" s="16">
        <v>2017</v>
      </c>
      <c r="K17" s="16">
        <v>2018</v>
      </c>
      <c r="L17" s="16">
        <v>2019</v>
      </c>
    </row>
    <row r="18" spans="2:12" x14ac:dyDescent="0.3">
      <c r="B18" s="155" t="s">
        <v>49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2:12" x14ac:dyDescent="0.3">
      <c r="B19" s="194" t="s">
        <v>50</v>
      </c>
      <c r="C19" s="195">
        <v>49</v>
      </c>
      <c r="D19" s="195">
        <v>49</v>
      </c>
      <c r="E19" s="195">
        <v>49</v>
      </c>
      <c r="F19" s="195">
        <v>49</v>
      </c>
      <c r="G19" s="195">
        <v>49</v>
      </c>
      <c r="H19" s="195">
        <v>49</v>
      </c>
      <c r="I19" s="195">
        <v>49</v>
      </c>
      <c r="J19" s="195">
        <v>49</v>
      </c>
      <c r="K19" s="195">
        <v>49</v>
      </c>
      <c r="L19" s="195">
        <v>49</v>
      </c>
    </row>
    <row r="20" spans="2:12" x14ac:dyDescent="0.3">
      <c r="B20" s="253" t="s">
        <v>51</v>
      </c>
      <c r="C20" s="195">
        <f>Pàg.5!C19</f>
        <v>765</v>
      </c>
      <c r="D20" s="195">
        <f>Pàg.5!D19</f>
        <v>765</v>
      </c>
      <c r="E20" s="195">
        <f>Pàg.5!E19</f>
        <v>765</v>
      </c>
      <c r="F20" s="195">
        <f>Pàg.5!F19</f>
        <v>765</v>
      </c>
      <c r="G20" s="195">
        <f>Pàg.5!G19</f>
        <v>765</v>
      </c>
      <c r="H20" s="195">
        <f>Pàg.5!H19</f>
        <v>810</v>
      </c>
      <c r="I20" s="195">
        <f>Pàg.5!I19</f>
        <v>810</v>
      </c>
      <c r="J20" s="195">
        <f>Pàg.5!J19</f>
        <v>813</v>
      </c>
      <c r="K20" s="195">
        <f>Pàg.5!K19</f>
        <v>823</v>
      </c>
      <c r="L20" s="195">
        <f>Pàg.5!L19</f>
        <v>832</v>
      </c>
    </row>
    <row r="21" spans="2:12" x14ac:dyDescent="0.3">
      <c r="B21" s="253" t="s">
        <v>52</v>
      </c>
      <c r="C21" s="254">
        <v>591</v>
      </c>
      <c r="D21" s="254">
        <v>612</v>
      </c>
      <c r="E21" s="254">
        <v>612</v>
      </c>
      <c r="F21" s="254">
        <v>612</v>
      </c>
      <c r="G21" s="254">
        <v>612</v>
      </c>
      <c r="H21" s="254">
        <v>613</v>
      </c>
      <c r="I21" s="254">
        <v>613</v>
      </c>
      <c r="J21" s="254">
        <v>613</v>
      </c>
      <c r="K21" s="254">
        <v>623</v>
      </c>
      <c r="L21" s="254">
        <v>629</v>
      </c>
    </row>
    <row r="22" spans="2:12" x14ac:dyDescent="0.3">
      <c r="B22" s="253" t="s">
        <v>23</v>
      </c>
      <c r="C22" s="254">
        <v>898</v>
      </c>
      <c r="D22" s="254">
        <v>898</v>
      </c>
      <c r="E22" s="254">
        <v>898</v>
      </c>
      <c r="F22" s="254">
        <v>898</v>
      </c>
      <c r="G22" s="254">
        <v>898</v>
      </c>
      <c r="H22" s="254">
        <v>898</v>
      </c>
      <c r="I22" s="254">
        <v>898</v>
      </c>
      <c r="J22" s="254">
        <v>898</v>
      </c>
      <c r="K22" s="254">
        <v>898</v>
      </c>
      <c r="L22" s="254">
        <v>898</v>
      </c>
    </row>
    <row r="23" spans="2:12" ht="15" thickBot="1" x14ac:dyDescent="0.35">
      <c r="B23" s="298" t="s">
        <v>24</v>
      </c>
      <c r="C23" s="299">
        <v>65</v>
      </c>
      <c r="D23" s="299">
        <v>65</v>
      </c>
      <c r="E23" s="299">
        <v>65</v>
      </c>
      <c r="F23" s="299">
        <v>67</v>
      </c>
      <c r="G23" s="299">
        <v>67</v>
      </c>
      <c r="H23" s="299">
        <v>67</v>
      </c>
      <c r="I23" s="299">
        <v>67</v>
      </c>
      <c r="J23" s="299">
        <v>67</v>
      </c>
      <c r="K23" s="299">
        <v>67</v>
      </c>
      <c r="L23" s="299">
        <v>67</v>
      </c>
    </row>
    <row r="24" spans="2:12" x14ac:dyDescent="0.3"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7" spans="2:12" x14ac:dyDescent="0.3">
      <c r="B27" s="22" t="s">
        <v>53</v>
      </c>
      <c r="C27" s="114"/>
      <c r="D27" s="114"/>
      <c r="E27" s="79"/>
      <c r="F27" s="79"/>
      <c r="G27" s="79"/>
      <c r="H27" s="79"/>
    </row>
    <row r="28" spans="2:12" x14ac:dyDescent="0.3">
      <c r="B28" s="79"/>
      <c r="C28" s="79"/>
      <c r="D28" s="79"/>
      <c r="E28" s="79"/>
      <c r="F28" s="79"/>
      <c r="G28" s="79"/>
      <c r="H28" s="79"/>
    </row>
    <row r="29" spans="2:12" ht="29.4" thickBot="1" x14ac:dyDescent="0.35">
      <c r="B29" s="156"/>
      <c r="C29" s="24" t="s">
        <v>54</v>
      </c>
      <c r="D29" s="24" t="s">
        <v>55</v>
      </c>
      <c r="E29" s="24" t="s">
        <v>56</v>
      </c>
      <c r="F29" s="24" t="s">
        <v>57</v>
      </c>
      <c r="G29" s="24" t="s">
        <v>58</v>
      </c>
      <c r="H29" s="24" t="s">
        <v>59</v>
      </c>
    </row>
    <row r="30" spans="2:12" ht="15" thickBot="1" x14ac:dyDescent="0.35">
      <c r="B30" s="29" t="s">
        <v>50</v>
      </c>
      <c r="C30" s="29">
        <v>25</v>
      </c>
      <c r="D30" s="29">
        <v>9</v>
      </c>
      <c r="E30" s="29">
        <v>7</v>
      </c>
      <c r="F30" s="29">
        <v>5</v>
      </c>
      <c r="G30" s="29">
        <v>3</v>
      </c>
      <c r="H30" s="29">
        <f>+SUM(C30:G30)</f>
        <v>49</v>
      </c>
    </row>
    <row r="31" spans="2:12" ht="15" thickBot="1" x14ac:dyDescent="0.35">
      <c r="B31" s="29" t="s">
        <v>60</v>
      </c>
      <c r="C31" s="29">
        <f t="shared" ref="C31:G31" si="3">+C32+C37</f>
        <v>460</v>
      </c>
      <c r="D31" s="29">
        <f t="shared" si="3"/>
        <v>61</v>
      </c>
      <c r="E31" s="29">
        <f t="shared" si="3"/>
        <v>34</v>
      </c>
      <c r="F31" s="29">
        <f t="shared" si="3"/>
        <v>61</v>
      </c>
      <c r="G31" s="29">
        <f t="shared" si="3"/>
        <v>13</v>
      </c>
      <c r="H31" s="29">
        <f>+SUM(C31:G31)</f>
        <v>629</v>
      </c>
    </row>
    <row r="32" spans="2:12" x14ac:dyDescent="0.3">
      <c r="B32" s="196" t="s">
        <v>61</v>
      </c>
      <c r="C32" s="196">
        <f>+SUM(C33:C36)</f>
        <v>25</v>
      </c>
      <c r="D32" s="196">
        <f>+SUM(D33:D36)</f>
        <v>4</v>
      </c>
      <c r="E32" s="196">
        <f>+SUM(E33:E36)</f>
        <v>2</v>
      </c>
      <c r="F32" s="196">
        <f>+SUM(F33:F36)</f>
        <v>4</v>
      </c>
      <c r="G32" s="196">
        <f>+SUM(G33:G36)</f>
        <v>0</v>
      </c>
      <c r="H32" s="196">
        <f t="shared" ref="H32:H59" si="4">+SUM(C32:G32)</f>
        <v>35</v>
      </c>
    </row>
    <row r="33" spans="2:8" x14ac:dyDescent="0.3">
      <c r="B33" s="197" t="s">
        <v>62</v>
      </c>
      <c r="C33" s="198">
        <v>3</v>
      </c>
      <c r="D33" s="303">
        <v>0</v>
      </c>
      <c r="E33" s="303">
        <v>0</v>
      </c>
      <c r="F33" s="303">
        <v>0</v>
      </c>
      <c r="G33" s="303">
        <v>0</v>
      </c>
      <c r="H33" s="282">
        <f t="shared" si="4"/>
        <v>3</v>
      </c>
    </row>
    <row r="34" spans="2:8" x14ac:dyDescent="0.3">
      <c r="B34" s="197" t="s">
        <v>63</v>
      </c>
      <c r="C34" s="198">
        <v>11</v>
      </c>
      <c r="D34" s="303">
        <v>2</v>
      </c>
      <c r="E34" s="303">
        <v>1</v>
      </c>
      <c r="F34" s="303">
        <v>2</v>
      </c>
      <c r="G34" s="303">
        <v>0</v>
      </c>
      <c r="H34" s="282">
        <f t="shared" si="4"/>
        <v>16</v>
      </c>
    </row>
    <row r="35" spans="2:8" x14ac:dyDescent="0.3">
      <c r="B35" s="242" t="s">
        <v>64</v>
      </c>
      <c r="C35" s="282">
        <v>11</v>
      </c>
      <c r="D35" s="282">
        <v>2</v>
      </c>
      <c r="E35" s="282">
        <v>1</v>
      </c>
      <c r="F35" s="282">
        <v>2</v>
      </c>
      <c r="G35" s="282">
        <v>0</v>
      </c>
      <c r="H35" s="282">
        <f t="shared" si="4"/>
        <v>16</v>
      </c>
    </row>
    <row r="36" spans="2:8" ht="15" thickBot="1" x14ac:dyDescent="0.35">
      <c r="B36" s="26" t="s">
        <v>65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f t="shared" si="4"/>
        <v>0</v>
      </c>
    </row>
    <row r="37" spans="2:8" x14ac:dyDescent="0.3">
      <c r="B37" s="27" t="s">
        <v>66</v>
      </c>
      <c r="C37" s="27">
        <f>+SUM(C38:C49)</f>
        <v>435</v>
      </c>
      <c r="D37" s="27">
        <f>+SUM(D38:D49)</f>
        <v>57</v>
      </c>
      <c r="E37" s="27">
        <f>+SUM(E38:E49)</f>
        <v>32</v>
      </c>
      <c r="F37" s="27">
        <f>+SUM(F38:F49)</f>
        <v>57</v>
      </c>
      <c r="G37" s="27">
        <f>+SUM(G38:G49)</f>
        <v>13</v>
      </c>
      <c r="H37" s="27">
        <f t="shared" si="4"/>
        <v>594</v>
      </c>
    </row>
    <row r="38" spans="2:8" x14ac:dyDescent="0.3">
      <c r="B38" s="242" t="s">
        <v>67</v>
      </c>
      <c r="C38" s="282">
        <f>92+17+4</f>
        <v>113</v>
      </c>
      <c r="D38" s="282">
        <v>6</v>
      </c>
      <c r="E38" s="282">
        <v>9</v>
      </c>
      <c r="F38" s="282">
        <v>15</v>
      </c>
      <c r="G38" s="282">
        <v>0</v>
      </c>
      <c r="H38" s="282">
        <f t="shared" si="4"/>
        <v>143</v>
      </c>
    </row>
    <row r="39" spans="2:8" x14ac:dyDescent="0.3">
      <c r="B39" s="242" t="s">
        <v>68</v>
      </c>
      <c r="C39" s="282">
        <v>11</v>
      </c>
      <c r="D39" s="282">
        <v>1</v>
      </c>
      <c r="E39" s="282">
        <v>0</v>
      </c>
      <c r="F39" s="282">
        <v>1</v>
      </c>
      <c r="G39" s="282">
        <v>0</v>
      </c>
      <c r="H39" s="282">
        <f t="shared" si="4"/>
        <v>13</v>
      </c>
    </row>
    <row r="40" spans="2:8" x14ac:dyDescent="0.3">
      <c r="B40" s="242" t="s">
        <v>69</v>
      </c>
      <c r="C40" s="282">
        <v>61</v>
      </c>
      <c r="D40" s="282">
        <v>4</v>
      </c>
      <c r="E40" s="282">
        <v>4</v>
      </c>
      <c r="F40" s="282">
        <v>10</v>
      </c>
      <c r="G40" s="282">
        <v>0</v>
      </c>
      <c r="H40" s="282">
        <f t="shared" si="4"/>
        <v>79</v>
      </c>
    </row>
    <row r="41" spans="2:8" x14ac:dyDescent="0.3">
      <c r="B41" s="242" t="s">
        <v>70</v>
      </c>
      <c r="C41" s="282">
        <v>109</v>
      </c>
      <c r="D41" s="282">
        <v>29</v>
      </c>
      <c r="E41" s="282">
        <v>10</v>
      </c>
      <c r="F41" s="282">
        <v>13</v>
      </c>
      <c r="G41" s="282">
        <v>10</v>
      </c>
      <c r="H41" s="282">
        <f t="shared" si="4"/>
        <v>171</v>
      </c>
    </row>
    <row r="42" spans="2:8" x14ac:dyDescent="0.3">
      <c r="B42" s="242" t="s">
        <v>71</v>
      </c>
      <c r="C42" s="282">
        <v>14</v>
      </c>
      <c r="D42" s="282">
        <v>1</v>
      </c>
      <c r="E42" s="282">
        <v>1</v>
      </c>
      <c r="F42" s="282">
        <v>3</v>
      </c>
      <c r="G42" s="282">
        <v>0</v>
      </c>
      <c r="H42" s="282">
        <f t="shared" si="4"/>
        <v>19</v>
      </c>
    </row>
    <row r="43" spans="2:8" x14ac:dyDescent="0.3">
      <c r="B43" s="242" t="s">
        <v>72</v>
      </c>
      <c r="C43" s="282">
        <v>49</v>
      </c>
      <c r="D43" s="282">
        <v>8</v>
      </c>
      <c r="E43" s="282">
        <v>3</v>
      </c>
      <c r="F43" s="282">
        <v>7</v>
      </c>
      <c r="G43" s="282">
        <v>2</v>
      </c>
      <c r="H43" s="282">
        <f t="shared" si="4"/>
        <v>69</v>
      </c>
    </row>
    <row r="44" spans="2:8" x14ac:dyDescent="0.3">
      <c r="B44" s="242" t="s">
        <v>73</v>
      </c>
      <c r="C44" s="282">
        <v>6</v>
      </c>
      <c r="D44" s="282">
        <v>1</v>
      </c>
      <c r="E44" s="282">
        <v>1</v>
      </c>
      <c r="F44" s="282">
        <v>1</v>
      </c>
      <c r="G44" s="282">
        <v>0</v>
      </c>
      <c r="H44" s="282">
        <f t="shared" si="4"/>
        <v>9</v>
      </c>
    </row>
    <row r="45" spans="2:8" x14ac:dyDescent="0.3">
      <c r="B45" s="242" t="s">
        <v>74</v>
      </c>
      <c r="C45" s="282">
        <v>5</v>
      </c>
      <c r="D45" s="282">
        <v>0</v>
      </c>
      <c r="E45" s="282">
        <v>1</v>
      </c>
      <c r="F45" s="282">
        <v>0</v>
      </c>
      <c r="G45" s="282">
        <v>0</v>
      </c>
      <c r="H45" s="282">
        <f t="shared" si="4"/>
        <v>6</v>
      </c>
    </row>
    <row r="46" spans="2:8" x14ac:dyDescent="0.3">
      <c r="B46" s="242" t="s">
        <v>75</v>
      </c>
      <c r="C46" s="282">
        <v>46</v>
      </c>
      <c r="D46" s="282">
        <v>4</v>
      </c>
      <c r="E46" s="282">
        <v>2</v>
      </c>
      <c r="F46" s="282">
        <v>4</v>
      </c>
      <c r="G46" s="282">
        <v>1</v>
      </c>
      <c r="H46" s="282">
        <f t="shared" si="4"/>
        <v>57</v>
      </c>
    </row>
    <row r="47" spans="2:8" x14ac:dyDescent="0.3">
      <c r="B47" s="242" t="s">
        <v>76</v>
      </c>
      <c r="C47" s="282">
        <v>17</v>
      </c>
      <c r="D47" s="282">
        <v>3</v>
      </c>
      <c r="E47" s="282">
        <v>1</v>
      </c>
      <c r="F47" s="282">
        <v>2</v>
      </c>
      <c r="G47" s="282">
        <v>0</v>
      </c>
      <c r="H47" s="282">
        <f t="shared" si="4"/>
        <v>23</v>
      </c>
    </row>
    <row r="48" spans="2:8" x14ac:dyDescent="0.3">
      <c r="B48" s="242" t="s">
        <v>77</v>
      </c>
      <c r="C48" s="282">
        <v>1</v>
      </c>
      <c r="D48" s="282">
        <v>0</v>
      </c>
      <c r="E48" s="282">
        <v>0</v>
      </c>
      <c r="F48" s="282">
        <v>0</v>
      </c>
      <c r="G48" s="282">
        <v>0</v>
      </c>
      <c r="H48" s="282">
        <f t="shared" si="4"/>
        <v>1</v>
      </c>
    </row>
    <row r="49" spans="2:8" ht="15" thickBot="1" x14ac:dyDescent="0.35">
      <c r="B49" s="300" t="s">
        <v>78</v>
      </c>
      <c r="C49" s="301">
        <v>3</v>
      </c>
      <c r="D49" s="301">
        <v>0</v>
      </c>
      <c r="E49" s="301">
        <v>0</v>
      </c>
      <c r="F49" s="301">
        <v>1</v>
      </c>
      <c r="G49" s="301">
        <v>0</v>
      </c>
      <c r="H49" s="301">
        <f t="shared" si="4"/>
        <v>4</v>
      </c>
    </row>
    <row r="50" spans="2:8" x14ac:dyDescent="0.3">
      <c r="B50" s="27" t="s">
        <v>79</v>
      </c>
      <c r="C50" s="27">
        <f>+SUM(C51:C54)</f>
        <v>13</v>
      </c>
      <c r="D50" s="27">
        <f>+SUM(D51:D54)</f>
        <v>4</v>
      </c>
      <c r="E50" s="27">
        <f>+SUM(E51:E54)</f>
        <v>2</v>
      </c>
      <c r="F50" s="27">
        <f>+SUM(F51:F54)</f>
        <v>3</v>
      </c>
      <c r="G50" s="27">
        <f>+SUM(G51:G54)</f>
        <v>2</v>
      </c>
      <c r="H50" s="27">
        <f t="shared" si="4"/>
        <v>24</v>
      </c>
    </row>
    <row r="51" spans="2:8" x14ac:dyDescent="0.3">
      <c r="B51" s="197" t="s">
        <v>80</v>
      </c>
      <c r="C51" s="198">
        <v>1</v>
      </c>
      <c r="D51" s="303">
        <v>0</v>
      </c>
      <c r="E51" s="303">
        <v>0</v>
      </c>
      <c r="F51" s="303">
        <v>0</v>
      </c>
      <c r="G51" s="303">
        <v>0</v>
      </c>
      <c r="H51" s="198">
        <f t="shared" si="4"/>
        <v>1</v>
      </c>
    </row>
    <row r="52" spans="2:8" x14ac:dyDescent="0.3">
      <c r="B52" s="197" t="s">
        <v>81</v>
      </c>
      <c r="C52" s="198">
        <v>1</v>
      </c>
      <c r="D52" s="303">
        <v>1</v>
      </c>
      <c r="E52" s="303">
        <v>1</v>
      </c>
      <c r="F52" s="303">
        <v>1</v>
      </c>
      <c r="G52" s="303">
        <v>0</v>
      </c>
      <c r="H52" s="282">
        <f t="shared" si="4"/>
        <v>4</v>
      </c>
    </row>
    <row r="53" spans="2:8" x14ac:dyDescent="0.3">
      <c r="B53" s="242" t="s">
        <v>82</v>
      </c>
      <c r="C53" s="282">
        <v>6</v>
      </c>
      <c r="D53" s="282">
        <v>0</v>
      </c>
      <c r="E53" s="282">
        <v>0</v>
      </c>
      <c r="F53" s="282">
        <v>0</v>
      </c>
      <c r="G53" s="282">
        <v>0</v>
      </c>
      <c r="H53" s="282">
        <f t="shared" si="4"/>
        <v>6</v>
      </c>
    </row>
    <row r="54" spans="2:8" ht="15" thickBot="1" x14ac:dyDescent="0.35">
      <c r="B54" s="26" t="s">
        <v>83</v>
      </c>
      <c r="C54" s="25">
        <v>5</v>
      </c>
      <c r="D54" s="25">
        <v>3</v>
      </c>
      <c r="E54" s="25">
        <v>1</v>
      </c>
      <c r="F54" s="25">
        <v>2</v>
      </c>
      <c r="G54" s="25">
        <v>2</v>
      </c>
      <c r="H54" s="25">
        <f t="shared" si="4"/>
        <v>13</v>
      </c>
    </row>
    <row r="55" spans="2:8" x14ac:dyDescent="0.3">
      <c r="B55" s="27" t="s">
        <v>84</v>
      </c>
      <c r="C55" s="27">
        <v>286</v>
      </c>
      <c r="D55" s="27">
        <v>212</v>
      </c>
      <c r="E55" s="27">
        <v>224</v>
      </c>
      <c r="F55" s="27">
        <v>135</v>
      </c>
      <c r="G55" s="27">
        <v>41</v>
      </c>
      <c r="H55" s="27">
        <f t="shared" si="4"/>
        <v>898</v>
      </c>
    </row>
    <row r="56" spans="2:8" x14ac:dyDescent="0.3">
      <c r="B56" s="197" t="s">
        <v>85</v>
      </c>
      <c r="C56" s="198">
        <v>95</v>
      </c>
      <c r="D56" s="198">
        <v>174</v>
      </c>
      <c r="E56" s="198">
        <v>66</v>
      </c>
      <c r="F56" s="198">
        <v>67</v>
      </c>
      <c r="G56" s="198">
        <v>5</v>
      </c>
      <c r="H56" s="198">
        <f t="shared" si="4"/>
        <v>407</v>
      </c>
    </row>
    <row r="57" spans="2:8" x14ac:dyDescent="0.3">
      <c r="B57" s="242" t="s">
        <v>86</v>
      </c>
      <c r="C57" s="282">
        <v>22</v>
      </c>
      <c r="D57" s="282">
        <v>25</v>
      </c>
      <c r="E57" s="282">
        <v>11</v>
      </c>
      <c r="F57" s="282">
        <v>9</v>
      </c>
      <c r="G57" s="282">
        <v>2</v>
      </c>
      <c r="H57" s="282">
        <f t="shared" si="4"/>
        <v>69</v>
      </c>
    </row>
    <row r="58" spans="2:8" x14ac:dyDescent="0.3">
      <c r="B58" s="242" t="s">
        <v>87</v>
      </c>
      <c r="C58" s="282">
        <v>90</v>
      </c>
      <c r="D58" s="282">
        <v>174</v>
      </c>
      <c r="E58" s="282">
        <v>66</v>
      </c>
      <c r="F58" s="282">
        <v>63</v>
      </c>
      <c r="G58" s="282">
        <v>5</v>
      </c>
      <c r="H58" s="282">
        <f t="shared" si="4"/>
        <v>398</v>
      </c>
    </row>
    <row r="59" spans="2:8" ht="15" thickBot="1" x14ac:dyDescent="0.35">
      <c r="B59" s="26" t="s">
        <v>88</v>
      </c>
      <c r="C59" s="25">
        <v>21</v>
      </c>
      <c r="D59" s="25">
        <v>25</v>
      </c>
      <c r="E59" s="25">
        <v>11</v>
      </c>
      <c r="F59" s="25">
        <v>8</v>
      </c>
      <c r="G59" s="25">
        <v>2</v>
      </c>
      <c r="H59" s="25">
        <f t="shared" si="4"/>
        <v>67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6" max="16383" man="1"/>
  </rowBreaks>
  <ignoredErrors>
    <ignoredError sqref="C50:H5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B2:L271"/>
  <sheetViews>
    <sheetView zoomScaleNormal="100" workbookViewId="0"/>
  </sheetViews>
  <sheetFormatPr defaultColWidth="9.109375" defaultRowHeight="14.4" x14ac:dyDescent="0.3"/>
  <cols>
    <col min="1" max="1" width="9.109375" style="7" customWidth="1"/>
    <col min="2" max="2" width="58.6640625" style="7" customWidth="1"/>
    <col min="3" max="12" width="11.6640625" style="7" customWidth="1"/>
    <col min="13" max="16384" width="9.109375" style="7"/>
  </cols>
  <sheetData>
    <row r="2" spans="2:12" ht="17.399999999999999" x14ac:dyDescent="0.35">
      <c r="B2" s="157" t="s">
        <v>89</v>
      </c>
    </row>
    <row r="3" spans="2:12" x14ac:dyDescent="0.3">
      <c r="B3" s="115"/>
    </row>
    <row r="4" spans="2:12" x14ac:dyDescent="0.3">
      <c r="B4" s="115"/>
    </row>
    <row r="5" spans="2:12" x14ac:dyDescent="0.3">
      <c r="B5" s="34" t="s">
        <v>90</v>
      </c>
    </row>
    <row r="6" spans="2:12" x14ac:dyDescent="0.3">
      <c r="H6" s="38"/>
      <c r="I6" s="38"/>
      <c r="J6" s="37"/>
      <c r="K6" s="37"/>
      <c r="L6" s="37"/>
    </row>
    <row r="7" spans="2:12" ht="15" thickBot="1" x14ac:dyDescent="0.35">
      <c r="B7" s="36"/>
      <c r="C7" s="16">
        <v>2010</v>
      </c>
      <c r="D7" s="16">
        <v>2011</v>
      </c>
      <c r="E7" s="16">
        <v>2012</v>
      </c>
      <c r="F7" s="16">
        <v>2013</v>
      </c>
      <c r="G7" s="16">
        <v>2014</v>
      </c>
      <c r="H7" s="16">
        <v>2015</v>
      </c>
      <c r="I7" s="16">
        <v>2016</v>
      </c>
      <c r="J7" s="16">
        <v>2017</v>
      </c>
      <c r="K7" s="16">
        <v>2018</v>
      </c>
      <c r="L7" s="16">
        <v>2019</v>
      </c>
    </row>
    <row r="8" spans="2:12" x14ac:dyDescent="0.3">
      <c r="B8" s="34" t="s">
        <v>91</v>
      </c>
      <c r="C8" s="33">
        <f t="shared" ref="C8:J8" si="0">SUM(C9:C16)</f>
        <v>204357</v>
      </c>
      <c r="D8" s="33">
        <f t="shared" si="0"/>
        <v>203784</v>
      </c>
      <c r="E8" s="33">
        <f t="shared" si="0"/>
        <v>173471</v>
      </c>
      <c r="F8" s="33">
        <f t="shared" si="0"/>
        <v>170199</v>
      </c>
      <c r="G8" s="33">
        <f t="shared" si="0"/>
        <v>151263</v>
      </c>
      <c r="H8" s="33">
        <f t="shared" si="0"/>
        <v>166093</v>
      </c>
      <c r="I8" s="33">
        <f t="shared" si="0"/>
        <v>156544</v>
      </c>
      <c r="J8" s="33">
        <f t="shared" si="0"/>
        <v>165817</v>
      </c>
      <c r="K8" s="33">
        <f t="shared" ref="K8" si="1">SUM(K9:K16)</f>
        <v>202980</v>
      </c>
      <c r="L8" s="33">
        <f t="shared" ref="L8" si="2">SUM(L9:L16)</f>
        <v>240909</v>
      </c>
    </row>
    <row r="9" spans="2:12" x14ac:dyDescent="0.3">
      <c r="B9" s="253" t="s">
        <v>92</v>
      </c>
      <c r="C9" s="254">
        <v>93176</v>
      </c>
      <c r="D9" s="254">
        <v>88694</v>
      </c>
      <c r="E9" s="254">
        <v>65906</v>
      </c>
      <c r="F9" s="254">
        <v>65337</v>
      </c>
      <c r="G9" s="254">
        <v>55097</v>
      </c>
      <c r="H9" s="254">
        <v>61018</v>
      </c>
      <c r="I9" s="254">
        <v>57765</v>
      </c>
      <c r="J9" s="254">
        <v>62625</v>
      </c>
      <c r="K9" s="254">
        <v>91568</v>
      </c>
      <c r="L9" s="254">
        <v>117270</v>
      </c>
    </row>
    <row r="10" spans="2:12" x14ac:dyDescent="0.3">
      <c r="B10" s="253" t="s">
        <v>93</v>
      </c>
      <c r="C10" s="254">
        <v>6722</v>
      </c>
      <c r="D10" s="254">
        <v>7340</v>
      </c>
      <c r="E10" s="254">
        <v>8560</v>
      </c>
      <c r="F10" s="254">
        <v>8862</v>
      </c>
      <c r="G10" s="254">
        <v>10657</v>
      </c>
      <c r="H10" s="254">
        <v>12250</v>
      </c>
      <c r="I10" s="254">
        <v>12516</v>
      </c>
      <c r="J10" s="254">
        <v>10778</v>
      </c>
      <c r="K10" s="254">
        <v>10793</v>
      </c>
      <c r="L10" s="254">
        <v>15626</v>
      </c>
    </row>
    <row r="11" spans="2:12" x14ac:dyDescent="0.3">
      <c r="B11" s="253" t="s">
        <v>94</v>
      </c>
      <c r="C11" s="254">
        <v>1886</v>
      </c>
      <c r="D11" s="254">
        <v>1753</v>
      </c>
      <c r="E11" s="254">
        <v>1778</v>
      </c>
      <c r="F11" s="254">
        <v>1759</v>
      </c>
      <c r="G11" s="254">
        <v>1844</v>
      </c>
      <c r="H11" s="254">
        <v>1902</v>
      </c>
      <c r="I11" s="254">
        <v>1729</v>
      </c>
      <c r="J11" s="254">
        <v>1773</v>
      </c>
      <c r="K11" s="254">
        <v>1970</v>
      </c>
      <c r="L11" s="254">
        <v>2130</v>
      </c>
    </row>
    <row r="12" spans="2:12" x14ac:dyDescent="0.3">
      <c r="B12" s="253" t="s">
        <v>95</v>
      </c>
      <c r="C12" s="254">
        <v>6584</v>
      </c>
      <c r="D12" s="254">
        <v>8416</v>
      </c>
      <c r="E12" s="254">
        <v>9397</v>
      </c>
      <c r="F12" s="254">
        <v>9737</v>
      </c>
      <c r="G12" s="254">
        <v>9022</v>
      </c>
      <c r="H12" s="254">
        <v>11116</v>
      </c>
      <c r="I12" s="254">
        <v>10347</v>
      </c>
      <c r="J12" s="254">
        <v>11988</v>
      </c>
      <c r="K12" s="254">
        <v>13496</v>
      </c>
      <c r="L12" s="254">
        <v>12292</v>
      </c>
    </row>
    <row r="13" spans="2:12" x14ac:dyDescent="0.3">
      <c r="B13" s="253" t="s">
        <v>96</v>
      </c>
      <c r="C13" s="254">
        <v>86708</v>
      </c>
      <c r="D13" s="254">
        <v>87450</v>
      </c>
      <c r="E13" s="254">
        <v>76214</v>
      </c>
      <c r="F13" s="254">
        <v>71410</v>
      </c>
      <c r="G13" s="254">
        <v>62498</v>
      </c>
      <c r="H13" s="254">
        <v>67097</v>
      </c>
      <c r="I13" s="254">
        <v>58359</v>
      </c>
      <c r="J13" s="254">
        <v>61666</v>
      </c>
      <c r="K13" s="254">
        <v>66771</v>
      </c>
      <c r="L13" s="254">
        <v>73636</v>
      </c>
    </row>
    <row r="14" spans="2:12" x14ac:dyDescent="0.3">
      <c r="B14" s="253" t="s">
        <v>97</v>
      </c>
      <c r="C14" s="254">
        <v>106</v>
      </c>
      <c r="D14" s="254">
        <v>48</v>
      </c>
      <c r="E14" s="254">
        <v>25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</row>
    <row r="15" spans="2:12" x14ac:dyDescent="0.3">
      <c r="B15" s="253" t="s">
        <v>98</v>
      </c>
      <c r="C15" s="254">
        <v>9071</v>
      </c>
      <c r="D15" s="254">
        <v>9975</v>
      </c>
      <c r="E15" s="254">
        <v>11457</v>
      </c>
      <c r="F15" s="254">
        <v>12955</v>
      </c>
      <c r="G15" s="254">
        <v>12017</v>
      </c>
      <c r="H15" s="254">
        <v>12577</v>
      </c>
      <c r="I15" s="254">
        <v>15663</v>
      </c>
      <c r="J15" s="254">
        <v>16824</v>
      </c>
      <c r="K15" s="254">
        <v>18242</v>
      </c>
      <c r="L15" s="254">
        <v>19832</v>
      </c>
    </row>
    <row r="16" spans="2:12" ht="15" thickBot="1" x14ac:dyDescent="0.35">
      <c r="B16" s="32" t="s">
        <v>99</v>
      </c>
      <c r="C16" s="13">
        <v>104</v>
      </c>
      <c r="D16" s="13">
        <v>108</v>
      </c>
      <c r="E16" s="13">
        <v>134</v>
      </c>
      <c r="F16" s="13">
        <v>139</v>
      </c>
      <c r="G16" s="13">
        <v>128</v>
      </c>
      <c r="H16" s="13">
        <v>133</v>
      </c>
      <c r="I16" s="13">
        <v>165</v>
      </c>
      <c r="J16" s="13">
        <v>163</v>
      </c>
      <c r="K16" s="13">
        <v>140</v>
      </c>
      <c r="L16" s="13">
        <v>123</v>
      </c>
    </row>
    <row r="17" spans="2:12" x14ac:dyDescent="0.3">
      <c r="B17" s="34" t="s">
        <v>100</v>
      </c>
      <c r="C17" s="33">
        <f t="shared" ref="C17:J17" si="3">SUM(C18:C25)</f>
        <v>181859</v>
      </c>
      <c r="D17" s="33">
        <f t="shared" si="3"/>
        <v>187524</v>
      </c>
      <c r="E17" s="33">
        <f t="shared" si="3"/>
        <v>177661</v>
      </c>
      <c r="F17" s="33">
        <f t="shared" si="3"/>
        <v>161792</v>
      </c>
      <c r="G17" s="33">
        <f t="shared" si="3"/>
        <v>150209</v>
      </c>
      <c r="H17" s="33">
        <f t="shared" si="3"/>
        <v>144714</v>
      </c>
      <c r="I17" s="33">
        <f t="shared" si="3"/>
        <v>128308</v>
      </c>
      <c r="J17" s="33">
        <f t="shared" si="3"/>
        <v>120824</v>
      </c>
      <c r="K17" s="33">
        <f t="shared" ref="K17" si="4">SUM(K18:K25)</f>
        <v>118119</v>
      </c>
      <c r="L17" s="33">
        <f t="shared" ref="L17" si="5">SUM(L18:L25)</f>
        <v>121167</v>
      </c>
    </row>
    <row r="18" spans="2:12" x14ac:dyDescent="0.3">
      <c r="B18" s="253" t="s">
        <v>101</v>
      </c>
      <c r="C18" s="254">
        <v>63769</v>
      </c>
      <c r="D18" s="254">
        <v>65230</v>
      </c>
      <c r="E18" s="254">
        <v>57785</v>
      </c>
      <c r="F18" s="254">
        <v>51972</v>
      </c>
      <c r="G18" s="254">
        <v>45334</v>
      </c>
      <c r="H18" s="254">
        <v>44203</v>
      </c>
      <c r="I18" s="254">
        <v>38188</v>
      </c>
      <c r="J18" s="254">
        <v>35679</v>
      </c>
      <c r="K18" s="254">
        <v>35100</v>
      </c>
      <c r="L18" s="254">
        <v>36731</v>
      </c>
    </row>
    <row r="19" spans="2:12" x14ac:dyDescent="0.3">
      <c r="B19" s="253" t="s">
        <v>96</v>
      </c>
      <c r="C19" s="254">
        <v>64918</v>
      </c>
      <c r="D19" s="254">
        <v>68933</v>
      </c>
      <c r="E19" s="254">
        <v>70231</v>
      </c>
      <c r="F19" s="254">
        <v>60030</v>
      </c>
      <c r="G19" s="254">
        <v>55943</v>
      </c>
      <c r="H19" s="254">
        <v>51318</v>
      </c>
      <c r="I19" s="254">
        <v>43342</v>
      </c>
      <c r="J19" s="254">
        <v>41660</v>
      </c>
      <c r="K19" s="254">
        <v>40505</v>
      </c>
      <c r="L19" s="254">
        <v>42744</v>
      </c>
    </row>
    <row r="20" spans="2:12" x14ac:dyDescent="0.3">
      <c r="B20" s="253" t="s">
        <v>102</v>
      </c>
      <c r="C20" s="254">
        <v>8183</v>
      </c>
      <c r="D20" s="254">
        <v>6450</v>
      </c>
      <c r="E20" s="254">
        <v>5454</v>
      </c>
      <c r="F20" s="254">
        <v>4713</v>
      </c>
      <c r="G20" s="254">
        <v>3735</v>
      </c>
      <c r="H20" s="254">
        <v>3875</v>
      </c>
      <c r="I20" s="254">
        <v>4288</v>
      </c>
      <c r="J20" s="254">
        <v>4622</v>
      </c>
      <c r="K20" s="254">
        <v>4976</v>
      </c>
      <c r="L20" s="254">
        <v>5180</v>
      </c>
    </row>
    <row r="21" spans="2:12" x14ac:dyDescent="0.3">
      <c r="B21" s="253" t="s">
        <v>97</v>
      </c>
      <c r="C21" s="254">
        <v>3908</v>
      </c>
      <c r="D21" s="254">
        <v>3801</v>
      </c>
      <c r="E21" s="254">
        <v>3313</v>
      </c>
      <c r="F21" s="254">
        <v>2576</v>
      </c>
      <c r="G21" s="254">
        <v>2332</v>
      </c>
      <c r="H21" s="254">
        <v>2228</v>
      </c>
      <c r="I21" s="254">
        <v>2407</v>
      </c>
      <c r="J21" s="254">
        <v>2739</v>
      </c>
      <c r="K21" s="254">
        <v>2742</v>
      </c>
      <c r="L21" s="254">
        <v>2825</v>
      </c>
    </row>
    <row r="22" spans="2:12" x14ac:dyDescent="0.3">
      <c r="B22" s="253" t="s">
        <v>103</v>
      </c>
      <c r="C22" s="254">
        <v>2992</v>
      </c>
      <c r="D22" s="254">
        <v>3253</v>
      </c>
      <c r="E22" s="254">
        <v>1464</v>
      </c>
      <c r="F22" s="254">
        <v>1376</v>
      </c>
      <c r="G22" s="254">
        <v>2246</v>
      </c>
      <c r="H22" s="254">
        <v>4075</v>
      </c>
      <c r="I22" s="254">
        <v>6220</v>
      </c>
      <c r="J22" s="254">
        <v>6327</v>
      </c>
      <c r="K22" s="254">
        <v>6415</v>
      </c>
      <c r="L22" s="254">
        <v>6160</v>
      </c>
    </row>
    <row r="23" spans="2:12" x14ac:dyDescent="0.3">
      <c r="B23" s="253" t="s">
        <v>104</v>
      </c>
      <c r="C23" s="254">
        <v>28447</v>
      </c>
      <c r="D23" s="254">
        <v>31606</v>
      </c>
      <c r="E23" s="254">
        <v>32494</v>
      </c>
      <c r="F23" s="254">
        <v>34170</v>
      </c>
      <c r="G23" s="254">
        <v>33659</v>
      </c>
      <c r="H23" s="254">
        <v>33040</v>
      </c>
      <c r="I23" s="254">
        <v>28174</v>
      </c>
      <c r="J23" s="254">
        <v>24697</v>
      </c>
      <c r="K23" s="254">
        <v>23467</v>
      </c>
      <c r="L23" s="254">
        <v>22459</v>
      </c>
    </row>
    <row r="24" spans="2:12" x14ac:dyDescent="0.3">
      <c r="B24" s="253" t="s">
        <v>105</v>
      </c>
      <c r="C24" s="254">
        <v>9615</v>
      </c>
      <c r="D24" s="254">
        <v>8217</v>
      </c>
      <c r="E24" s="254">
        <v>6888</v>
      </c>
      <c r="F24" s="254">
        <v>6918</v>
      </c>
      <c r="G24" s="254">
        <v>6924</v>
      </c>
      <c r="H24" s="254">
        <v>5899</v>
      </c>
      <c r="I24" s="254">
        <v>5651</v>
      </c>
      <c r="J24" s="254">
        <v>5074</v>
      </c>
      <c r="K24" s="254">
        <v>4771</v>
      </c>
      <c r="L24" s="254">
        <v>5000</v>
      </c>
    </row>
    <row r="25" spans="2:12" ht="15" thickBot="1" x14ac:dyDescent="0.35">
      <c r="B25" s="32" t="s">
        <v>99</v>
      </c>
      <c r="C25" s="13">
        <v>27</v>
      </c>
      <c r="D25" s="13">
        <v>34</v>
      </c>
      <c r="E25" s="13">
        <v>32</v>
      </c>
      <c r="F25" s="13">
        <v>37</v>
      </c>
      <c r="G25" s="13">
        <v>36</v>
      </c>
      <c r="H25" s="13">
        <v>76</v>
      </c>
      <c r="I25" s="13">
        <v>38</v>
      </c>
      <c r="J25" s="13">
        <v>26</v>
      </c>
      <c r="K25" s="13">
        <v>143</v>
      </c>
      <c r="L25" s="13">
        <v>68</v>
      </c>
    </row>
    <row r="26" spans="2:12" x14ac:dyDescent="0.3">
      <c r="B26" s="34" t="s">
        <v>106</v>
      </c>
      <c r="C26" s="33">
        <f t="shared" ref="C26:J26" si="6">SUM(C27:C28)</f>
        <v>31780</v>
      </c>
      <c r="D26" s="33">
        <f t="shared" si="6"/>
        <v>33169</v>
      </c>
      <c r="E26" s="33">
        <f t="shared" si="6"/>
        <v>33368</v>
      </c>
      <c r="F26" s="33">
        <f t="shared" si="6"/>
        <v>29974</v>
      </c>
      <c r="G26" s="33">
        <f t="shared" si="6"/>
        <v>26562</v>
      </c>
      <c r="H26" s="33">
        <f t="shared" si="6"/>
        <v>25067</v>
      </c>
      <c r="I26" s="33">
        <f t="shared" si="6"/>
        <v>20637</v>
      </c>
      <c r="J26" s="33">
        <f t="shared" si="6"/>
        <v>20227</v>
      </c>
      <c r="K26" s="33">
        <f t="shared" ref="K26" si="7">SUM(K27:K28)</f>
        <v>21593</v>
      </c>
      <c r="L26" s="33">
        <f t="shared" ref="L26" si="8">SUM(L27:L28)</f>
        <v>21425</v>
      </c>
    </row>
    <row r="27" spans="2:12" x14ac:dyDescent="0.3">
      <c r="B27" s="253" t="s">
        <v>107</v>
      </c>
      <c r="C27" s="254">
        <v>16494</v>
      </c>
      <c r="D27" s="254">
        <v>17679</v>
      </c>
      <c r="E27" s="254">
        <v>17992</v>
      </c>
      <c r="F27" s="254">
        <v>15982</v>
      </c>
      <c r="G27" s="254">
        <v>14247</v>
      </c>
      <c r="H27" s="254">
        <v>13364</v>
      </c>
      <c r="I27" s="254">
        <v>10180</v>
      </c>
      <c r="J27" s="254">
        <v>9639</v>
      </c>
      <c r="K27" s="254">
        <v>10654</v>
      </c>
      <c r="L27" s="254">
        <v>10867</v>
      </c>
    </row>
    <row r="28" spans="2:12" ht="15" thickBot="1" x14ac:dyDescent="0.35">
      <c r="B28" s="32" t="s">
        <v>108</v>
      </c>
      <c r="C28" s="13">
        <v>15286</v>
      </c>
      <c r="D28" s="13">
        <v>15490</v>
      </c>
      <c r="E28" s="13">
        <v>15376</v>
      </c>
      <c r="F28" s="13">
        <v>13992</v>
      </c>
      <c r="G28" s="13">
        <v>12315</v>
      </c>
      <c r="H28" s="13">
        <v>11703</v>
      </c>
      <c r="I28" s="13">
        <v>10457</v>
      </c>
      <c r="J28" s="13">
        <v>10588</v>
      </c>
      <c r="K28" s="13">
        <v>10939</v>
      </c>
      <c r="L28" s="13">
        <v>10558</v>
      </c>
    </row>
    <row r="29" spans="2:12" x14ac:dyDescent="0.3">
      <c r="B29" s="34" t="s">
        <v>109</v>
      </c>
      <c r="C29" s="33">
        <f t="shared" ref="C29:J29" si="9">SUM(C30:C31)</f>
        <v>37963</v>
      </c>
      <c r="D29" s="33">
        <f t="shared" si="9"/>
        <v>41099</v>
      </c>
      <c r="E29" s="33">
        <f t="shared" si="9"/>
        <v>44991</v>
      </c>
      <c r="F29" s="33">
        <f t="shared" si="9"/>
        <v>47564</v>
      </c>
      <c r="G29" s="33">
        <f t="shared" si="9"/>
        <v>51625</v>
      </c>
      <c r="H29" s="33">
        <f t="shared" si="9"/>
        <v>51097</v>
      </c>
      <c r="I29" s="33">
        <f t="shared" si="9"/>
        <v>48112</v>
      </c>
      <c r="J29" s="33">
        <f t="shared" si="9"/>
        <v>43238</v>
      </c>
      <c r="K29" s="33">
        <f t="shared" ref="K29" si="10">SUM(K30:K31)</f>
        <v>41783</v>
      </c>
      <c r="L29" s="33">
        <f t="shared" ref="L29" si="11">SUM(L30:L31)</f>
        <v>41843</v>
      </c>
    </row>
    <row r="30" spans="2:12" x14ac:dyDescent="0.3">
      <c r="B30" s="253" t="s">
        <v>110</v>
      </c>
      <c r="C30" s="254">
        <v>31208</v>
      </c>
      <c r="D30" s="254">
        <v>35145</v>
      </c>
      <c r="E30" s="254">
        <v>39304</v>
      </c>
      <c r="F30" s="254">
        <v>42684</v>
      </c>
      <c r="G30" s="254">
        <v>48678</v>
      </c>
      <c r="H30" s="254">
        <v>49053</v>
      </c>
      <c r="I30" s="254">
        <v>46611</v>
      </c>
      <c r="J30" s="254">
        <v>41690</v>
      </c>
      <c r="K30" s="254">
        <v>40656</v>
      </c>
      <c r="L30" s="254">
        <v>40252</v>
      </c>
    </row>
    <row r="31" spans="2:12" ht="15" thickBot="1" x14ac:dyDescent="0.35">
      <c r="B31" s="32" t="s">
        <v>111</v>
      </c>
      <c r="C31" s="13">
        <v>6755</v>
      </c>
      <c r="D31" s="13">
        <v>5954</v>
      </c>
      <c r="E31" s="13">
        <v>5687</v>
      </c>
      <c r="F31" s="13">
        <v>4880</v>
      </c>
      <c r="G31" s="13">
        <v>2947</v>
      </c>
      <c r="H31" s="13">
        <v>2044</v>
      </c>
      <c r="I31" s="13">
        <v>1501</v>
      </c>
      <c r="J31" s="13">
        <v>1548</v>
      </c>
      <c r="K31" s="13">
        <v>1127</v>
      </c>
      <c r="L31" s="13">
        <v>1591</v>
      </c>
    </row>
    <row r="32" spans="2:12" ht="15" thickBot="1" x14ac:dyDescent="0.35">
      <c r="B32" s="31" t="s">
        <v>112</v>
      </c>
      <c r="C32" s="30">
        <f t="shared" ref="C32:J32" si="12">C8+C17+C26+C29</f>
        <v>455959</v>
      </c>
      <c r="D32" s="30">
        <f t="shared" si="12"/>
        <v>465576</v>
      </c>
      <c r="E32" s="30">
        <f t="shared" si="12"/>
        <v>429491</v>
      </c>
      <c r="F32" s="30">
        <f t="shared" si="12"/>
        <v>409529</v>
      </c>
      <c r="G32" s="30">
        <f t="shared" si="12"/>
        <v>379659</v>
      </c>
      <c r="H32" s="30">
        <f t="shared" si="12"/>
        <v>386971</v>
      </c>
      <c r="I32" s="30">
        <f t="shared" si="12"/>
        <v>353601</v>
      </c>
      <c r="J32" s="30">
        <f t="shared" si="12"/>
        <v>350106</v>
      </c>
      <c r="K32" s="30">
        <f t="shared" ref="K32:L32" si="13">K8+K17+K26+K29</f>
        <v>384475</v>
      </c>
      <c r="L32" s="30">
        <f t="shared" si="13"/>
        <v>425344</v>
      </c>
    </row>
    <row r="35" spans="2:12" x14ac:dyDescent="0.3">
      <c r="B35" s="34" t="s">
        <v>113</v>
      </c>
    </row>
    <row r="36" spans="2:12" x14ac:dyDescent="0.3">
      <c r="I36" s="38"/>
      <c r="J36" s="37"/>
      <c r="K36" s="37"/>
      <c r="L36" s="37"/>
    </row>
    <row r="37" spans="2:12" ht="15" thickBot="1" x14ac:dyDescent="0.35">
      <c r="B37" s="36"/>
      <c r="C37" s="16">
        <f t="shared" ref="C37:J37" si="14">+C7</f>
        <v>2010</v>
      </c>
      <c r="D37" s="16">
        <f t="shared" si="14"/>
        <v>2011</v>
      </c>
      <c r="E37" s="16">
        <f t="shared" si="14"/>
        <v>2012</v>
      </c>
      <c r="F37" s="16">
        <f t="shared" si="14"/>
        <v>2013</v>
      </c>
      <c r="G37" s="16">
        <f t="shared" si="14"/>
        <v>2014</v>
      </c>
      <c r="H37" s="35">
        <f t="shared" si="14"/>
        <v>2015</v>
      </c>
      <c r="I37" s="35">
        <f t="shared" si="14"/>
        <v>2016</v>
      </c>
      <c r="J37" s="35">
        <f t="shared" si="14"/>
        <v>2017</v>
      </c>
      <c r="K37" s="35">
        <f>+$K$7</f>
        <v>2018</v>
      </c>
      <c r="L37" s="35">
        <v>2019</v>
      </c>
    </row>
    <row r="38" spans="2:12" x14ac:dyDescent="0.3">
      <c r="B38" s="34" t="s">
        <v>91</v>
      </c>
      <c r="C38" s="33">
        <f t="shared" ref="C38:J38" si="15">SUM(C39:C46)</f>
        <v>327104</v>
      </c>
      <c r="D38" s="33">
        <f t="shared" si="15"/>
        <v>286635</v>
      </c>
      <c r="E38" s="33">
        <f t="shared" si="15"/>
        <v>297679</v>
      </c>
      <c r="F38" s="33">
        <f t="shared" si="15"/>
        <v>275124</v>
      </c>
      <c r="G38" s="33">
        <f t="shared" si="15"/>
        <v>282939</v>
      </c>
      <c r="H38" s="33">
        <f t="shared" si="15"/>
        <v>280418</v>
      </c>
      <c r="I38" s="33">
        <f t="shared" si="15"/>
        <v>284687</v>
      </c>
      <c r="J38" s="33">
        <f t="shared" si="15"/>
        <v>329142</v>
      </c>
      <c r="K38" s="33">
        <f t="shared" ref="K38" si="16">SUM(K39:K46)</f>
        <v>353921</v>
      </c>
      <c r="L38" s="33">
        <f t="shared" ref="L38" si="17">SUM(L39:L46)</f>
        <v>390488</v>
      </c>
    </row>
    <row r="39" spans="2:12" x14ac:dyDescent="0.3">
      <c r="B39" s="253" t="s">
        <v>92</v>
      </c>
      <c r="C39" s="254">
        <v>154571</v>
      </c>
      <c r="D39" s="254">
        <v>129902</v>
      </c>
      <c r="E39" s="254">
        <v>137778</v>
      </c>
      <c r="F39" s="254">
        <v>122810</v>
      </c>
      <c r="G39" s="254">
        <v>126919</v>
      </c>
      <c r="H39" s="254">
        <v>123220</v>
      </c>
      <c r="I39" s="254">
        <v>128289</v>
      </c>
      <c r="J39" s="254">
        <v>158275</v>
      </c>
      <c r="K39" s="254">
        <v>165855</v>
      </c>
      <c r="L39" s="254">
        <v>169618</v>
      </c>
    </row>
    <row r="40" spans="2:12" x14ac:dyDescent="0.3">
      <c r="B40" s="253" t="s">
        <v>93</v>
      </c>
      <c r="C40" s="254">
        <v>7205</v>
      </c>
      <c r="D40" s="254">
        <v>7420</v>
      </c>
      <c r="E40" s="254">
        <v>8192</v>
      </c>
      <c r="F40" s="254">
        <v>8648</v>
      </c>
      <c r="G40" s="254">
        <v>10323</v>
      </c>
      <c r="H40" s="254">
        <v>10309</v>
      </c>
      <c r="I40" s="254">
        <v>9086</v>
      </c>
      <c r="J40" s="254">
        <v>9942</v>
      </c>
      <c r="K40" s="254">
        <v>19841</v>
      </c>
      <c r="L40" s="254">
        <v>33895</v>
      </c>
    </row>
    <row r="41" spans="2:12" x14ac:dyDescent="0.3">
      <c r="B41" s="253" t="s">
        <v>94</v>
      </c>
      <c r="C41" s="254">
        <v>3354</v>
      </c>
      <c r="D41" s="254">
        <v>3510</v>
      </c>
      <c r="E41" s="254">
        <v>3673</v>
      </c>
      <c r="F41" s="254">
        <v>3738</v>
      </c>
      <c r="G41" s="254">
        <v>3651</v>
      </c>
      <c r="H41" s="254">
        <v>3732</v>
      </c>
      <c r="I41" s="254">
        <v>3577</v>
      </c>
      <c r="J41" s="254">
        <v>3593</v>
      </c>
      <c r="K41" s="254">
        <v>3804</v>
      </c>
      <c r="L41" s="254">
        <v>4090</v>
      </c>
    </row>
    <row r="42" spans="2:12" x14ac:dyDescent="0.3">
      <c r="B42" s="253" t="s">
        <v>95</v>
      </c>
      <c r="C42" s="254">
        <v>21533</v>
      </c>
      <c r="D42" s="254">
        <v>21362</v>
      </c>
      <c r="E42" s="254">
        <v>22216</v>
      </c>
      <c r="F42" s="254">
        <v>22703</v>
      </c>
      <c r="G42" s="254">
        <v>21983</v>
      </c>
      <c r="H42" s="254">
        <v>24981</v>
      </c>
      <c r="I42" s="254">
        <v>25053</v>
      </c>
      <c r="J42" s="254">
        <v>26490</v>
      </c>
      <c r="K42" s="254">
        <v>28586</v>
      </c>
      <c r="L42" s="254">
        <v>30033</v>
      </c>
    </row>
    <row r="43" spans="2:12" x14ac:dyDescent="0.3">
      <c r="B43" s="253" t="s">
        <v>96</v>
      </c>
      <c r="C43" s="254">
        <v>124996</v>
      </c>
      <c r="D43" s="254">
        <v>107840</v>
      </c>
      <c r="E43" s="254">
        <v>108495</v>
      </c>
      <c r="F43" s="254">
        <v>102951</v>
      </c>
      <c r="G43" s="254">
        <v>104111</v>
      </c>
      <c r="H43" s="254">
        <v>99312</v>
      </c>
      <c r="I43" s="254">
        <v>99968</v>
      </c>
      <c r="J43" s="254">
        <v>111633</v>
      </c>
      <c r="K43" s="254">
        <v>115938</v>
      </c>
      <c r="L43" s="254">
        <v>131326</v>
      </c>
    </row>
    <row r="44" spans="2:12" x14ac:dyDescent="0.3">
      <c r="B44" s="253" t="s">
        <v>97</v>
      </c>
      <c r="C44" s="254">
        <v>8</v>
      </c>
      <c r="D44" s="254">
        <v>8</v>
      </c>
      <c r="E44" s="254">
        <v>6</v>
      </c>
      <c r="F44" s="254">
        <v>0</v>
      </c>
      <c r="G44" s="254">
        <v>0</v>
      </c>
      <c r="H44" s="254">
        <v>0</v>
      </c>
      <c r="I44" s="254">
        <v>0</v>
      </c>
      <c r="J44" s="254">
        <v>0</v>
      </c>
      <c r="K44" s="254">
        <v>0</v>
      </c>
      <c r="L44" s="254">
        <v>0</v>
      </c>
    </row>
    <row r="45" spans="2:12" x14ac:dyDescent="0.3">
      <c r="B45" s="253" t="s">
        <v>63</v>
      </c>
      <c r="C45" s="254">
        <v>15189</v>
      </c>
      <c r="D45" s="254">
        <v>16363</v>
      </c>
      <c r="E45" s="254">
        <v>17050</v>
      </c>
      <c r="F45" s="254">
        <v>14030</v>
      </c>
      <c r="G45" s="254">
        <v>15699</v>
      </c>
      <c r="H45" s="254">
        <v>18576</v>
      </c>
      <c r="I45" s="254">
        <v>18404</v>
      </c>
      <c r="J45" s="254">
        <v>18914</v>
      </c>
      <c r="K45" s="254">
        <v>19614</v>
      </c>
      <c r="L45" s="254">
        <v>21221</v>
      </c>
    </row>
    <row r="46" spans="2:12" ht="15" thickBot="1" x14ac:dyDescent="0.35">
      <c r="B46" s="32" t="s">
        <v>99</v>
      </c>
      <c r="C46" s="13">
        <v>248</v>
      </c>
      <c r="D46" s="13">
        <v>230</v>
      </c>
      <c r="E46" s="13">
        <v>269</v>
      </c>
      <c r="F46" s="13">
        <v>244</v>
      </c>
      <c r="G46" s="13">
        <v>253</v>
      </c>
      <c r="H46" s="13">
        <v>288</v>
      </c>
      <c r="I46" s="13">
        <v>310</v>
      </c>
      <c r="J46" s="13">
        <v>295</v>
      </c>
      <c r="K46" s="13">
        <v>283</v>
      </c>
      <c r="L46" s="13">
        <v>305</v>
      </c>
    </row>
    <row r="47" spans="2:12" x14ac:dyDescent="0.3">
      <c r="B47" s="34" t="s">
        <v>100</v>
      </c>
      <c r="C47" s="33">
        <f t="shared" ref="C47:J47" si="18">SUM(C48:C55)</f>
        <v>1022784</v>
      </c>
      <c r="D47" s="33">
        <f t="shared" si="18"/>
        <v>998073</v>
      </c>
      <c r="E47" s="33">
        <f t="shared" si="18"/>
        <v>986867</v>
      </c>
      <c r="F47" s="33">
        <f t="shared" si="18"/>
        <v>964680</v>
      </c>
      <c r="G47" s="33">
        <f t="shared" si="18"/>
        <v>935422</v>
      </c>
      <c r="H47" s="33">
        <f t="shared" si="18"/>
        <v>893700</v>
      </c>
      <c r="I47" s="33">
        <f t="shared" si="18"/>
        <v>490225</v>
      </c>
      <c r="J47" s="33">
        <f t="shared" si="18"/>
        <v>494658</v>
      </c>
      <c r="K47" s="33">
        <f t="shared" ref="K47" si="19">SUM(K48:K55)</f>
        <v>505041</v>
      </c>
      <c r="L47" s="33">
        <f t="shared" ref="L47" si="20">SUM(L48:L55)</f>
        <v>545569</v>
      </c>
    </row>
    <row r="48" spans="2:12" x14ac:dyDescent="0.3">
      <c r="B48" s="253" t="s">
        <v>101</v>
      </c>
      <c r="C48" s="254">
        <v>562045</v>
      </c>
      <c r="D48" s="254">
        <v>537919</v>
      </c>
      <c r="E48" s="254">
        <v>528471</v>
      </c>
      <c r="F48" s="254">
        <v>513963</v>
      </c>
      <c r="G48" s="254">
        <v>501405</v>
      </c>
      <c r="H48" s="254">
        <v>471216</v>
      </c>
      <c r="I48" s="254">
        <v>212029</v>
      </c>
      <c r="J48" s="254">
        <v>215704</v>
      </c>
      <c r="K48" s="254">
        <v>220303</v>
      </c>
      <c r="L48" s="254">
        <v>246174</v>
      </c>
    </row>
    <row r="49" spans="2:12" x14ac:dyDescent="0.3">
      <c r="B49" s="253" t="s">
        <v>96</v>
      </c>
      <c r="C49" s="254">
        <v>336514</v>
      </c>
      <c r="D49" s="254">
        <v>337969</v>
      </c>
      <c r="E49" s="254">
        <v>333852</v>
      </c>
      <c r="F49" s="254">
        <v>327084</v>
      </c>
      <c r="G49" s="254">
        <v>313516</v>
      </c>
      <c r="H49" s="254">
        <v>297458</v>
      </c>
      <c r="I49" s="254">
        <v>153579</v>
      </c>
      <c r="J49" s="254">
        <v>152987</v>
      </c>
      <c r="K49" s="254">
        <v>160271</v>
      </c>
      <c r="L49" s="254">
        <v>171510</v>
      </c>
    </row>
    <row r="50" spans="2:12" x14ac:dyDescent="0.3">
      <c r="B50" s="253" t="s">
        <v>102</v>
      </c>
      <c r="C50" s="254">
        <v>30070</v>
      </c>
      <c r="D50" s="254">
        <v>28306</v>
      </c>
      <c r="E50" s="254">
        <v>26793</v>
      </c>
      <c r="F50" s="254">
        <v>25910</v>
      </c>
      <c r="G50" s="254">
        <v>26225</v>
      </c>
      <c r="H50" s="254">
        <v>27564</v>
      </c>
      <c r="I50" s="254">
        <v>29272</v>
      </c>
      <c r="J50" s="254">
        <v>29911</v>
      </c>
      <c r="K50" s="254">
        <v>29786</v>
      </c>
      <c r="L50" s="254">
        <v>31246</v>
      </c>
    </row>
    <row r="51" spans="2:12" x14ac:dyDescent="0.3">
      <c r="B51" s="253" t="s">
        <v>97</v>
      </c>
      <c r="C51" s="254">
        <v>5396</v>
      </c>
      <c r="D51" s="254">
        <v>5070</v>
      </c>
      <c r="E51" s="254">
        <v>4891</v>
      </c>
      <c r="F51" s="254">
        <v>4428</v>
      </c>
      <c r="G51" s="254">
        <v>4028</v>
      </c>
      <c r="H51" s="254">
        <v>4056</v>
      </c>
      <c r="I51" s="254">
        <v>4322</v>
      </c>
      <c r="J51" s="254">
        <v>4232</v>
      </c>
      <c r="K51" s="254">
        <v>4422</v>
      </c>
      <c r="L51" s="254">
        <v>4955</v>
      </c>
    </row>
    <row r="52" spans="2:12" x14ac:dyDescent="0.3">
      <c r="B52" s="253" t="s">
        <v>103</v>
      </c>
      <c r="C52" s="254">
        <v>29471</v>
      </c>
      <c r="D52" s="254">
        <v>29503</v>
      </c>
      <c r="E52" s="254">
        <v>30193</v>
      </c>
      <c r="F52" s="254">
        <v>30933</v>
      </c>
      <c r="G52" s="254">
        <v>32277</v>
      </c>
      <c r="H52" s="254">
        <v>34097</v>
      </c>
      <c r="I52" s="254">
        <v>34192</v>
      </c>
      <c r="J52" s="254">
        <v>34448</v>
      </c>
      <c r="K52" s="254">
        <v>34018</v>
      </c>
      <c r="L52" s="254">
        <v>33915</v>
      </c>
    </row>
    <row r="53" spans="2:12" x14ac:dyDescent="0.3">
      <c r="B53" s="253" t="s">
        <v>104</v>
      </c>
      <c r="C53" s="254">
        <v>33946</v>
      </c>
      <c r="D53" s="254">
        <v>32143</v>
      </c>
      <c r="E53" s="254">
        <v>33101</v>
      </c>
      <c r="F53" s="254">
        <v>32685</v>
      </c>
      <c r="G53" s="254">
        <v>29896</v>
      </c>
      <c r="H53" s="254">
        <v>28961</v>
      </c>
      <c r="I53" s="254">
        <v>28571</v>
      </c>
      <c r="J53" s="254">
        <v>30295</v>
      </c>
      <c r="K53" s="254">
        <v>29465</v>
      </c>
      <c r="L53" s="254">
        <v>29917</v>
      </c>
    </row>
    <row r="54" spans="2:12" x14ac:dyDescent="0.3">
      <c r="B54" s="253" t="s">
        <v>114</v>
      </c>
      <c r="C54" s="254">
        <v>25208</v>
      </c>
      <c r="D54" s="254">
        <v>27021</v>
      </c>
      <c r="E54" s="254">
        <v>28628</v>
      </c>
      <c r="F54" s="254">
        <v>29518</v>
      </c>
      <c r="G54" s="254">
        <v>27861</v>
      </c>
      <c r="H54" s="254">
        <v>27525</v>
      </c>
      <c r="I54" s="254">
        <v>28021</v>
      </c>
      <c r="J54" s="254">
        <v>26804</v>
      </c>
      <c r="K54" s="254">
        <v>26445</v>
      </c>
      <c r="L54" s="254">
        <v>27436</v>
      </c>
    </row>
    <row r="55" spans="2:12" ht="15" thickBot="1" x14ac:dyDescent="0.35">
      <c r="B55" s="32" t="s">
        <v>99</v>
      </c>
      <c r="C55" s="13">
        <v>134</v>
      </c>
      <c r="D55" s="13">
        <v>142</v>
      </c>
      <c r="E55" s="13">
        <v>938</v>
      </c>
      <c r="F55" s="13">
        <v>159</v>
      </c>
      <c r="G55" s="13">
        <v>214</v>
      </c>
      <c r="H55" s="13">
        <v>2823</v>
      </c>
      <c r="I55" s="13">
        <v>239</v>
      </c>
      <c r="J55" s="13">
        <v>277</v>
      </c>
      <c r="K55" s="13">
        <v>331</v>
      </c>
      <c r="L55" s="13">
        <v>416</v>
      </c>
    </row>
    <row r="56" spans="2:12" x14ac:dyDescent="0.3">
      <c r="B56" s="34" t="s">
        <v>106</v>
      </c>
      <c r="C56" s="33">
        <f t="shared" ref="C56:J56" si="21">SUM(C57:C58)</f>
        <v>23769</v>
      </c>
      <c r="D56" s="33">
        <f t="shared" si="21"/>
        <v>22187</v>
      </c>
      <c r="E56" s="33">
        <f t="shared" si="21"/>
        <v>18835</v>
      </c>
      <c r="F56" s="33">
        <f t="shared" si="21"/>
        <v>17655</v>
      </c>
      <c r="G56" s="33">
        <f t="shared" si="21"/>
        <v>18561</v>
      </c>
      <c r="H56" s="33">
        <f t="shared" si="21"/>
        <v>15891</v>
      </c>
      <c r="I56" s="33">
        <f t="shared" si="21"/>
        <v>17098</v>
      </c>
      <c r="J56" s="33">
        <f t="shared" si="21"/>
        <v>16878</v>
      </c>
      <c r="K56" s="33">
        <f t="shared" ref="K56" si="22">SUM(K57:K58)</f>
        <v>16862</v>
      </c>
      <c r="L56" s="33">
        <f t="shared" ref="L56" si="23">SUM(L57:L58)</f>
        <v>17898</v>
      </c>
    </row>
    <row r="57" spans="2:12" x14ac:dyDescent="0.3">
      <c r="B57" s="253" t="s">
        <v>107</v>
      </c>
      <c r="C57" s="254">
        <v>15893</v>
      </c>
      <c r="D57" s="254">
        <v>14947</v>
      </c>
      <c r="E57" s="254">
        <v>12761</v>
      </c>
      <c r="F57" s="254">
        <v>12344</v>
      </c>
      <c r="G57" s="254">
        <v>12892</v>
      </c>
      <c r="H57" s="254">
        <v>10355</v>
      </c>
      <c r="I57" s="254">
        <v>11091</v>
      </c>
      <c r="J57" s="254">
        <v>10668</v>
      </c>
      <c r="K57" s="254">
        <v>11181</v>
      </c>
      <c r="L57" s="254">
        <v>11531</v>
      </c>
    </row>
    <row r="58" spans="2:12" ht="15" thickBot="1" x14ac:dyDescent="0.35">
      <c r="B58" s="32" t="s">
        <v>108</v>
      </c>
      <c r="C58" s="13">
        <v>7876</v>
      </c>
      <c r="D58" s="13">
        <v>7240</v>
      </c>
      <c r="E58" s="13">
        <v>6074</v>
      </c>
      <c r="F58" s="13">
        <v>5311</v>
      </c>
      <c r="G58" s="13">
        <v>5669</v>
      </c>
      <c r="H58" s="13">
        <v>5536</v>
      </c>
      <c r="I58" s="13">
        <v>6007</v>
      </c>
      <c r="J58" s="13">
        <v>6210</v>
      </c>
      <c r="K58" s="13">
        <v>5681</v>
      </c>
      <c r="L58" s="13">
        <v>6367</v>
      </c>
    </row>
    <row r="59" spans="2:12" x14ac:dyDescent="0.3">
      <c r="B59" s="34" t="s">
        <v>109</v>
      </c>
      <c r="C59" s="33">
        <f t="shared" ref="C59:J59" si="24">SUM(C60:C61)</f>
        <v>66728</v>
      </c>
      <c r="D59" s="33">
        <f t="shared" si="24"/>
        <v>67009</v>
      </c>
      <c r="E59" s="33">
        <f t="shared" si="24"/>
        <v>70109</v>
      </c>
      <c r="F59" s="33">
        <f t="shared" si="24"/>
        <v>70571</v>
      </c>
      <c r="G59" s="33">
        <f t="shared" si="24"/>
        <v>66385</v>
      </c>
      <c r="H59" s="33">
        <f t="shared" si="24"/>
        <v>61201</v>
      </c>
      <c r="I59" s="33">
        <f t="shared" si="24"/>
        <v>57728</v>
      </c>
      <c r="J59" s="33">
        <f t="shared" si="24"/>
        <v>58281</v>
      </c>
      <c r="K59" s="33">
        <f t="shared" ref="K59" si="25">SUM(K60:K61)</f>
        <v>57392</v>
      </c>
      <c r="L59" s="33">
        <f t="shared" ref="L59" si="26">SUM(L60:L61)</f>
        <v>62845</v>
      </c>
    </row>
    <row r="60" spans="2:12" x14ac:dyDescent="0.3">
      <c r="B60" s="253" t="s">
        <v>110</v>
      </c>
      <c r="C60" s="254">
        <v>58921</v>
      </c>
      <c r="D60" s="254">
        <v>58691</v>
      </c>
      <c r="E60" s="254">
        <v>62090</v>
      </c>
      <c r="F60" s="254">
        <v>63856</v>
      </c>
      <c r="G60" s="254">
        <v>58529</v>
      </c>
      <c r="H60" s="254">
        <v>53918</v>
      </c>
      <c r="I60" s="254">
        <v>49744</v>
      </c>
      <c r="J60" s="254">
        <v>50653</v>
      </c>
      <c r="K60" s="254">
        <v>49977</v>
      </c>
      <c r="L60" s="254">
        <v>55480</v>
      </c>
    </row>
    <row r="61" spans="2:12" ht="15" thickBot="1" x14ac:dyDescent="0.35">
      <c r="B61" s="32" t="s">
        <v>111</v>
      </c>
      <c r="C61" s="13">
        <v>7807</v>
      </c>
      <c r="D61" s="13">
        <v>8318</v>
      </c>
      <c r="E61" s="13">
        <v>8019</v>
      </c>
      <c r="F61" s="13">
        <v>6715</v>
      </c>
      <c r="G61" s="13">
        <v>7856</v>
      </c>
      <c r="H61" s="13">
        <v>7283</v>
      </c>
      <c r="I61" s="13">
        <v>7984</v>
      </c>
      <c r="J61" s="13">
        <v>7628</v>
      </c>
      <c r="K61" s="13">
        <v>7415</v>
      </c>
      <c r="L61" s="13">
        <v>7365</v>
      </c>
    </row>
    <row r="62" spans="2:12" ht="15" thickBot="1" x14ac:dyDescent="0.35">
      <c r="B62" s="31" t="s">
        <v>115</v>
      </c>
      <c r="C62" s="30">
        <f t="shared" ref="C62:J62" si="27">C38+C47+C56+C59</f>
        <v>1440385</v>
      </c>
      <c r="D62" s="30">
        <f t="shared" si="27"/>
        <v>1373904</v>
      </c>
      <c r="E62" s="30">
        <f t="shared" si="27"/>
        <v>1373490</v>
      </c>
      <c r="F62" s="30">
        <f t="shared" si="27"/>
        <v>1328030</v>
      </c>
      <c r="G62" s="30">
        <f t="shared" si="27"/>
        <v>1303307</v>
      </c>
      <c r="H62" s="30">
        <f t="shared" si="27"/>
        <v>1251210</v>
      </c>
      <c r="I62" s="30">
        <f t="shared" si="27"/>
        <v>849738</v>
      </c>
      <c r="J62" s="30">
        <f t="shared" si="27"/>
        <v>898959</v>
      </c>
      <c r="K62" s="30">
        <f t="shared" ref="K62:L62" si="28">K38+K47+K56+K59</f>
        <v>933216</v>
      </c>
      <c r="L62" s="30">
        <f t="shared" si="28"/>
        <v>1016800</v>
      </c>
    </row>
    <row r="65" spans="2:12" x14ac:dyDescent="0.3">
      <c r="B65" s="34" t="s">
        <v>116</v>
      </c>
    </row>
    <row r="66" spans="2:12" x14ac:dyDescent="0.3">
      <c r="I66" s="38"/>
      <c r="J66" s="37"/>
      <c r="K66" s="37"/>
      <c r="L66" s="37"/>
    </row>
    <row r="67" spans="2:12" ht="15" thickBot="1" x14ac:dyDescent="0.35">
      <c r="B67" s="36"/>
      <c r="C67" s="16">
        <f t="shared" ref="C67:J67" si="29">+C7</f>
        <v>2010</v>
      </c>
      <c r="D67" s="16">
        <f t="shared" si="29"/>
        <v>2011</v>
      </c>
      <c r="E67" s="16">
        <f t="shared" si="29"/>
        <v>2012</v>
      </c>
      <c r="F67" s="16">
        <f t="shared" si="29"/>
        <v>2013</v>
      </c>
      <c r="G67" s="16">
        <f t="shared" si="29"/>
        <v>2014</v>
      </c>
      <c r="H67" s="35">
        <f t="shared" si="29"/>
        <v>2015</v>
      </c>
      <c r="I67" s="35">
        <f t="shared" si="29"/>
        <v>2016</v>
      </c>
      <c r="J67" s="35">
        <f t="shared" si="29"/>
        <v>2017</v>
      </c>
      <c r="K67" s="35">
        <f>+$K$7</f>
        <v>2018</v>
      </c>
      <c r="L67" s="35">
        <v>2019</v>
      </c>
    </row>
    <row r="68" spans="2:12" x14ac:dyDescent="0.3">
      <c r="B68" s="34" t="s">
        <v>91</v>
      </c>
      <c r="C68" s="33">
        <f t="shared" ref="C68:J68" si="30">SUM(C69:C76)</f>
        <v>322161</v>
      </c>
      <c r="D68" s="33">
        <f t="shared" si="30"/>
        <v>313194</v>
      </c>
      <c r="E68" s="33">
        <f t="shared" si="30"/>
        <v>301047</v>
      </c>
      <c r="F68" s="33">
        <f t="shared" si="30"/>
        <v>287514</v>
      </c>
      <c r="G68" s="33">
        <f t="shared" si="30"/>
        <v>277297</v>
      </c>
      <c r="H68" s="33">
        <f t="shared" si="30"/>
        <v>299046</v>
      </c>
      <c r="I68" s="33">
        <f t="shared" si="30"/>
        <v>277564</v>
      </c>
      <c r="J68" s="33">
        <f t="shared" si="30"/>
        <v>294407</v>
      </c>
      <c r="K68" s="33">
        <f t="shared" ref="K68" si="31">SUM(K69:K76)</f>
        <v>316743</v>
      </c>
      <c r="L68" s="33">
        <f t="shared" ref="L68" si="32">SUM(L69:L76)</f>
        <v>348385</v>
      </c>
    </row>
    <row r="69" spans="2:12" x14ac:dyDescent="0.3">
      <c r="B69" s="253" t="s">
        <v>92</v>
      </c>
      <c r="C69" s="254">
        <v>156901</v>
      </c>
      <c r="D69" s="254">
        <v>150301</v>
      </c>
      <c r="E69" s="254">
        <v>139728</v>
      </c>
      <c r="F69" s="254">
        <v>130694</v>
      </c>
      <c r="G69" s="254">
        <v>124542</v>
      </c>
      <c r="H69" s="254">
        <v>127440</v>
      </c>
      <c r="I69" s="254">
        <v>123704</v>
      </c>
      <c r="J69" s="254">
        <v>131515</v>
      </c>
      <c r="K69" s="254">
        <v>142958</v>
      </c>
      <c r="L69" s="254">
        <v>158989</v>
      </c>
    </row>
    <row r="70" spans="2:12" x14ac:dyDescent="0.3">
      <c r="B70" s="253" t="s">
        <v>93</v>
      </c>
      <c r="C70" s="254">
        <v>6448</v>
      </c>
      <c r="D70" s="254">
        <v>6759</v>
      </c>
      <c r="E70" s="254">
        <v>7480</v>
      </c>
      <c r="F70" s="254">
        <v>6908</v>
      </c>
      <c r="G70" s="254">
        <v>8761</v>
      </c>
      <c r="H70" s="254">
        <v>9925</v>
      </c>
      <c r="I70" s="254">
        <v>10812</v>
      </c>
      <c r="J70" s="254">
        <v>9972</v>
      </c>
      <c r="K70" s="254">
        <v>14450</v>
      </c>
      <c r="L70" s="254">
        <v>20356</v>
      </c>
    </row>
    <row r="71" spans="2:12" x14ac:dyDescent="0.3">
      <c r="B71" s="253" t="s">
        <v>94</v>
      </c>
      <c r="C71" s="254">
        <v>3455</v>
      </c>
      <c r="D71" s="254">
        <v>3450</v>
      </c>
      <c r="E71" s="254">
        <v>3681</v>
      </c>
      <c r="F71" s="254">
        <v>3606</v>
      </c>
      <c r="G71" s="254">
        <v>3587</v>
      </c>
      <c r="H71" s="254">
        <v>3708</v>
      </c>
      <c r="I71" s="254">
        <v>3461</v>
      </c>
      <c r="J71" s="254">
        <v>3392</v>
      </c>
      <c r="K71" s="254">
        <v>3616</v>
      </c>
      <c r="L71" s="254">
        <v>3719</v>
      </c>
    </row>
    <row r="72" spans="2:12" x14ac:dyDescent="0.3">
      <c r="B72" s="253" t="s">
        <v>95</v>
      </c>
      <c r="C72" s="254">
        <v>19487</v>
      </c>
      <c r="D72" s="254">
        <v>20305</v>
      </c>
      <c r="E72" s="254">
        <v>21404</v>
      </c>
      <c r="F72" s="254">
        <v>22299</v>
      </c>
      <c r="G72" s="254">
        <v>21242</v>
      </c>
      <c r="H72" s="254">
        <v>24685</v>
      </c>
      <c r="I72" s="254">
        <v>24084</v>
      </c>
      <c r="J72" s="254">
        <v>25390</v>
      </c>
      <c r="K72" s="254">
        <v>27931</v>
      </c>
      <c r="L72" s="254">
        <v>29490</v>
      </c>
    </row>
    <row r="73" spans="2:12" x14ac:dyDescent="0.3">
      <c r="B73" s="253" t="s">
        <v>96</v>
      </c>
      <c r="C73" s="254">
        <v>121221</v>
      </c>
      <c r="D73" s="254">
        <v>117316</v>
      </c>
      <c r="E73" s="254">
        <v>112895</v>
      </c>
      <c r="F73" s="254">
        <v>108705</v>
      </c>
      <c r="G73" s="254">
        <v>103821</v>
      </c>
      <c r="H73" s="254">
        <v>117658</v>
      </c>
      <c r="I73" s="254">
        <v>98136</v>
      </c>
      <c r="J73" s="254">
        <v>106011</v>
      </c>
      <c r="K73" s="254">
        <v>108875</v>
      </c>
      <c r="L73" s="254">
        <v>113571</v>
      </c>
    </row>
    <row r="74" spans="2:12" x14ac:dyDescent="0.3">
      <c r="B74" s="253" t="s">
        <v>97</v>
      </c>
      <c r="C74" s="254">
        <v>98</v>
      </c>
      <c r="D74" s="254">
        <v>47</v>
      </c>
      <c r="E74" s="254">
        <v>20</v>
      </c>
      <c r="F74" s="254">
        <v>0</v>
      </c>
      <c r="G74" s="254">
        <v>0</v>
      </c>
      <c r="H74" s="254">
        <v>0</v>
      </c>
      <c r="I74" s="254">
        <v>0</v>
      </c>
      <c r="J74" s="254">
        <v>0</v>
      </c>
      <c r="K74" s="254">
        <v>0</v>
      </c>
      <c r="L74" s="254">
        <v>0</v>
      </c>
    </row>
    <row r="75" spans="2:12" x14ac:dyDescent="0.3">
      <c r="B75" s="253" t="s">
        <v>117</v>
      </c>
      <c r="C75" s="254">
        <v>14307</v>
      </c>
      <c r="D75" s="254">
        <v>14812</v>
      </c>
      <c r="E75" s="254">
        <v>15575</v>
      </c>
      <c r="F75" s="254">
        <v>15047</v>
      </c>
      <c r="G75" s="254">
        <v>15096</v>
      </c>
      <c r="H75" s="254">
        <v>15374</v>
      </c>
      <c r="I75" s="254">
        <v>17055</v>
      </c>
      <c r="J75" s="254">
        <v>17813</v>
      </c>
      <c r="K75" s="254">
        <v>18613</v>
      </c>
      <c r="L75" s="254">
        <v>21920</v>
      </c>
    </row>
    <row r="76" spans="2:12" ht="15" thickBot="1" x14ac:dyDescent="0.35">
      <c r="B76" s="32" t="s">
        <v>99</v>
      </c>
      <c r="C76" s="13">
        <v>244</v>
      </c>
      <c r="D76" s="13">
        <v>204</v>
      </c>
      <c r="E76" s="13">
        <v>264</v>
      </c>
      <c r="F76" s="13">
        <v>255</v>
      </c>
      <c r="G76" s="13">
        <v>248</v>
      </c>
      <c r="H76" s="13">
        <v>256</v>
      </c>
      <c r="I76" s="13">
        <v>312</v>
      </c>
      <c r="J76" s="13">
        <v>314</v>
      </c>
      <c r="K76" s="13">
        <v>300</v>
      </c>
      <c r="L76" s="13">
        <v>340</v>
      </c>
    </row>
    <row r="77" spans="2:12" x14ac:dyDescent="0.3">
      <c r="B77" s="34" t="s">
        <v>100</v>
      </c>
      <c r="C77" s="33">
        <f t="shared" ref="C77:J77" si="33">SUM(C78:C85)</f>
        <v>1028421</v>
      </c>
      <c r="D77" s="33">
        <f t="shared" si="33"/>
        <v>1015816</v>
      </c>
      <c r="E77" s="33">
        <f t="shared" si="33"/>
        <v>1010812</v>
      </c>
      <c r="F77" s="33">
        <f t="shared" si="33"/>
        <v>991937</v>
      </c>
      <c r="G77" s="33">
        <f t="shared" si="33"/>
        <v>960651</v>
      </c>
      <c r="H77" s="33">
        <f t="shared" si="33"/>
        <v>924786</v>
      </c>
      <c r="I77" s="33">
        <f t="shared" si="33"/>
        <v>506084</v>
      </c>
      <c r="J77" s="33">
        <f t="shared" si="33"/>
        <v>503568</v>
      </c>
      <c r="K77" s="33">
        <f t="shared" ref="K77" si="34">SUM(K78:K85)</f>
        <v>509350</v>
      </c>
      <c r="L77" s="33">
        <f t="shared" ref="L77" si="35">SUM(L78:L85)</f>
        <v>540646</v>
      </c>
    </row>
    <row r="78" spans="2:12" x14ac:dyDescent="0.3">
      <c r="B78" s="253" t="s">
        <v>101</v>
      </c>
      <c r="C78" s="254">
        <v>569254</v>
      </c>
      <c r="D78" s="254">
        <v>553163</v>
      </c>
      <c r="E78" s="254">
        <v>544410</v>
      </c>
      <c r="F78" s="254">
        <v>530560</v>
      </c>
      <c r="G78" s="254">
        <v>514672</v>
      </c>
      <c r="H78" s="254">
        <v>484954</v>
      </c>
      <c r="I78" s="254">
        <v>217966</v>
      </c>
      <c r="J78" s="254">
        <v>219703</v>
      </c>
      <c r="K78" s="254">
        <v>223051</v>
      </c>
      <c r="L78" s="254">
        <v>244410</v>
      </c>
    </row>
    <row r="79" spans="2:12" x14ac:dyDescent="0.3">
      <c r="B79" s="253" t="s">
        <v>96</v>
      </c>
      <c r="C79" s="254">
        <v>334693</v>
      </c>
      <c r="D79" s="254">
        <v>335282</v>
      </c>
      <c r="E79" s="254">
        <v>339349</v>
      </c>
      <c r="F79" s="254">
        <v>334138</v>
      </c>
      <c r="G79" s="254">
        <v>320868</v>
      </c>
      <c r="H79" s="254">
        <v>307808</v>
      </c>
      <c r="I79" s="254">
        <v>157441</v>
      </c>
      <c r="J79" s="254">
        <v>153270</v>
      </c>
      <c r="K79" s="254">
        <v>158133</v>
      </c>
      <c r="L79" s="254">
        <v>166573</v>
      </c>
    </row>
    <row r="80" spans="2:12" x14ac:dyDescent="0.3">
      <c r="B80" s="253" t="s">
        <v>102</v>
      </c>
      <c r="C80" s="254">
        <v>31742</v>
      </c>
      <c r="D80" s="254">
        <v>29478</v>
      </c>
      <c r="E80" s="254">
        <v>27863</v>
      </c>
      <c r="F80" s="254">
        <v>26945</v>
      </c>
      <c r="G80" s="254">
        <v>26290</v>
      </c>
      <c r="H80" s="254">
        <v>27366</v>
      </c>
      <c r="I80" s="254">
        <v>29243</v>
      </c>
      <c r="J80" s="254">
        <v>29775</v>
      </c>
      <c r="K80" s="254">
        <v>29452</v>
      </c>
      <c r="L80" s="254">
        <v>30208</v>
      </c>
    </row>
    <row r="81" spans="2:12" x14ac:dyDescent="0.3">
      <c r="B81" s="253" t="s">
        <v>97</v>
      </c>
      <c r="C81" s="254">
        <v>5676</v>
      </c>
      <c r="D81" s="254">
        <v>5979</v>
      </c>
      <c r="E81" s="254">
        <v>6100</v>
      </c>
      <c r="F81" s="254">
        <v>5141</v>
      </c>
      <c r="G81" s="254">
        <v>4711</v>
      </c>
      <c r="H81" s="254">
        <v>4078</v>
      </c>
      <c r="I81" s="254">
        <v>4427</v>
      </c>
      <c r="J81" s="254">
        <v>4491</v>
      </c>
      <c r="K81" s="254">
        <v>4419</v>
      </c>
      <c r="L81" s="254">
        <v>4550</v>
      </c>
    </row>
    <row r="82" spans="2:12" x14ac:dyDescent="0.3">
      <c r="B82" s="253" t="s">
        <v>103</v>
      </c>
      <c r="C82" s="254">
        <v>29209</v>
      </c>
      <c r="D82" s="254">
        <v>31295</v>
      </c>
      <c r="E82" s="254">
        <v>30317</v>
      </c>
      <c r="F82" s="254">
        <v>30792</v>
      </c>
      <c r="G82" s="254">
        <v>30453</v>
      </c>
      <c r="H82" s="254">
        <v>33171</v>
      </c>
      <c r="I82" s="254">
        <v>34039</v>
      </c>
      <c r="J82" s="254">
        <v>34233</v>
      </c>
      <c r="K82" s="254">
        <v>34273</v>
      </c>
      <c r="L82" s="254">
        <v>34337</v>
      </c>
    </row>
    <row r="83" spans="2:12" x14ac:dyDescent="0.3">
      <c r="B83" s="253" t="s">
        <v>104</v>
      </c>
      <c r="C83" s="254">
        <v>31371</v>
      </c>
      <c r="D83" s="254">
        <v>32325</v>
      </c>
      <c r="E83" s="254">
        <v>33386</v>
      </c>
      <c r="F83" s="254">
        <v>35037</v>
      </c>
      <c r="G83" s="254">
        <v>34317</v>
      </c>
      <c r="H83" s="254">
        <v>36656</v>
      </c>
      <c r="I83" s="254">
        <v>34366</v>
      </c>
      <c r="J83" s="254">
        <v>34504</v>
      </c>
      <c r="K83" s="254">
        <v>33281</v>
      </c>
      <c r="L83" s="254">
        <v>32828</v>
      </c>
    </row>
    <row r="84" spans="2:12" x14ac:dyDescent="0.3">
      <c r="B84" s="253" t="s">
        <v>114</v>
      </c>
      <c r="C84" s="254">
        <v>26349</v>
      </c>
      <c r="D84" s="254">
        <v>28150</v>
      </c>
      <c r="E84" s="254">
        <v>28454</v>
      </c>
      <c r="F84" s="254">
        <v>29164</v>
      </c>
      <c r="G84" s="254">
        <v>29166</v>
      </c>
      <c r="H84" s="254">
        <v>27892</v>
      </c>
      <c r="I84" s="254">
        <v>28352</v>
      </c>
      <c r="J84" s="254">
        <v>27432</v>
      </c>
      <c r="K84" s="254">
        <v>26513</v>
      </c>
      <c r="L84" s="254">
        <v>27458</v>
      </c>
    </row>
    <row r="85" spans="2:12" ht="15" thickBot="1" x14ac:dyDescent="0.35">
      <c r="B85" s="32" t="s">
        <v>99</v>
      </c>
      <c r="C85" s="13">
        <v>127</v>
      </c>
      <c r="D85" s="13">
        <v>144</v>
      </c>
      <c r="E85" s="13">
        <v>933</v>
      </c>
      <c r="F85" s="13">
        <v>160</v>
      </c>
      <c r="G85" s="13">
        <v>174</v>
      </c>
      <c r="H85" s="13">
        <v>2861</v>
      </c>
      <c r="I85" s="13">
        <v>250</v>
      </c>
      <c r="J85" s="13">
        <v>160</v>
      </c>
      <c r="K85" s="13">
        <v>228</v>
      </c>
      <c r="L85" s="13">
        <v>282</v>
      </c>
    </row>
    <row r="86" spans="2:12" x14ac:dyDescent="0.3">
      <c r="B86" s="34" t="s">
        <v>106</v>
      </c>
      <c r="C86" s="33">
        <f t="shared" ref="C86:J86" si="36">SUM(C87:C88)</f>
        <v>22565</v>
      </c>
      <c r="D86" s="33">
        <f t="shared" si="36"/>
        <v>22031</v>
      </c>
      <c r="E86" s="33">
        <f t="shared" si="36"/>
        <v>22185</v>
      </c>
      <c r="F86" s="33">
        <f t="shared" si="36"/>
        <v>21381</v>
      </c>
      <c r="G86" s="33">
        <f t="shared" si="36"/>
        <v>20436</v>
      </c>
      <c r="H86" s="33">
        <f t="shared" si="36"/>
        <v>21131</v>
      </c>
      <c r="I86" s="33">
        <f t="shared" si="36"/>
        <v>17862</v>
      </c>
      <c r="J86" s="33">
        <f t="shared" si="36"/>
        <v>16397</v>
      </c>
      <c r="K86" s="33">
        <f t="shared" ref="K86" si="37">SUM(K87:K88)</f>
        <v>18102</v>
      </c>
      <c r="L86" s="33">
        <f t="shared" ref="L86" si="38">SUM(L87:L88)</f>
        <v>17564</v>
      </c>
    </row>
    <row r="87" spans="2:12" x14ac:dyDescent="0.3">
      <c r="B87" s="253" t="s">
        <v>107</v>
      </c>
      <c r="C87" s="254">
        <v>15072</v>
      </c>
      <c r="D87" s="254">
        <v>14964</v>
      </c>
      <c r="E87" s="254">
        <v>15124</v>
      </c>
      <c r="F87" s="254">
        <v>14597</v>
      </c>
      <c r="G87" s="254">
        <v>14287</v>
      </c>
      <c r="H87" s="254">
        <v>14192</v>
      </c>
      <c r="I87" s="254">
        <v>12075</v>
      </c>
      <c r="J87" s="254">
        <v>10741</v>
      </c>
      <c r="K87" s="254">
        <v>12190</v>
      </c>
      <c r="L87" s="254">
        <v>10869</v>
      </c>
    </row>
    <row r="88" spans="2:12" ht="15" thickBot="1" x14ac:dyDescent="0.35">
      <c r="B88" s="32" t="s">
        <v>108</v>
      </c>
      <c r="C88" s="13">
        <v>7493</v>
      </c>
      <c r="D88" s="13">
        <v>7067</v>
      </c>
      <c r="E88" s="13">
        <v>7061</v>
      </c>
      <c r="F88" s="13">
        <v>6784</v>
      </c>
      <c r="G88" s="13">
        <v>6149</v>
      </c>
      <c r="H88" s="13">
        <v>6939</v>
      </c>
      <c r="I88" s="13">
        <v>5787</v>
      </c>
      <c r="J88" s="13">
        <v>5656</v>
      </c>
      <c r="K88" s="13">
        <v>5912</v>
      </c>
      <c r="L88" s="13">
        <v>6695</v>
      </c>
    </row>
    <row r="89" spans="2:12" x14ac:dyDescent="0.3">
      <c r="B89" s="34" t="s">
        <v>109</v>
      </c>
      <c r="C89" s="33">
        <f t="shared" ref="C89:J89" si="39">SUM(C90:C91)</f>
        <v>61994</v>
      </c>
      <c r="D89" s="33">
        <f t="shared" si="39"/>
        <v>61929</v>
      </c>
      <c r="E89" s="33">
        <f t="shared" si="39"/>
        <v>65558</v>
      </c>
      <c r="F89" s="33">
        <f t="shared" si="39"/>
        <v>65067</v>
      </c>
      <c r="G89" s="33">
        <f t="shared" si="39"/>
        <v>65212</v>
      </c>
      <c r="H89" s="33">
        <f t="shared" si="39"/>
        <v>63792</v>
      </c>
      <c r="I89" s="33">
        <f t="shared" si="39"/>
        <v>61971</v>
      </c>
      <c r="J89" s="33">
        <f t="shared" si="39"/>
        <v>59336</v>
      </c>
      <c r="K89" s="33">
        <f t="shared" ref="K89" si="40">SUM(K90:K91)</f>
        <v>57482</v>
      </c>
      <c r="L89" s="33">
        <f t="shared" ref="L89" si="41">SUM(L90:L91)</f>
        <v>58353</v>
      </c>
    </row>
    <row r="90" spans="2:12" x14ac:dyDescent="0.3">
      <c r="B90" s="253" t="s">
        <v>110</v>
      </c>
      <c r="C90" s="254">
        <v>53352</v>
      </c>
      <c r="D90" s="254">
        <v>53358</v>
      </c>
      <c r="E90" s="254">
        <v>56719</v>
      </c>
      <c r="F90" s="254">
        <v>56414</v>
      </c>
      <c r="G90" s="254">
        <v>56451</v>
      </c>
      <c r="H90" s="254">
        <v>55962</v>
      </c>
      <c r="I90" s="254">
        <v>54020</v>
      </c>
      <c r="J90" s="254">
        <v>51280</v>
      </c>
      <c r="K90" s="254">
        <v>50530</v>
      </c>
      <c r="L90" s="254">
        <v>51720</v>
      </c>
    </row>
    <row r="91" spans="2:12" ht="15" thickBot="1" x14ac:dyDescent="0.35">
      <c r="B91" s="32" t="s">
        <v>111</v>
      </c>
      <c r="C91" s="13">
        <v>8642</v>
      </c>
      <c r="D91" s="13">
        <v>8571</v>
      </c>
      <c r="E91" s="13">
        <v>8839</v>
      </c>
      <c r="F91" s="13">
        <v>8653</v>
      </c>
      <c r="G91" s="13">
        <v>8761</v>
      </c>
      <c r="H91" s="13">
        <v>7830</v>
      </c>
      <c r="I91" s="13">
        <v>7951</v>
      </c>
      <c r="J91" s="13">
        <v>8056</v>
      </c>
      <c r="K91" s="13">
        <v>6952</v>
      </c>
      <c r="L91" s="13">
        <v>6633</v>
      </c>
    </row>
    <row r="92" spans="2:12" ht="15" thickBot="1" x14ac:dyDescent="0.35">
      <c r="B92" s="31" t="s">
        <v>118</v>
      </c>
      <c r="C92" s="30">
        <f t="shared" ref="C92:J92" si="42">C68+C77+C86+C89</f>
        <v>1435141</v>
      </c>
      <c r="D92" s="30">
        <f t="shared" si="42"/>
        <v>1412970</v>
      </c>
      <c r="E92" s="30">
        <f t="shared" si="42"/>
        <v>1399602</v>
      </c>
      <c r="F92" s="30">
        <f t="shared" si="42"/>
        <v>1365899</v>
      </c>
      <c r="G92" s="30">
        <f t="shared" si="42"/>
        <v>1323596</v>
      </c>
      <c r="H92" s="30">
        <f t="shared" si="42"/>
        <v>1308755</v>
      </c>
      <c r="I92" s="30">
        <f t="shared" si="42"/>
        <v>863481</v>
      </c>
      <c r="J92" s="30">
        <f t="shared" si="42"/>
        <v>873708</v>
      </c>
      <c r="K92" s="30">
        <f t="shared" ref="K92:L92" si="43">K68+K77+K86+K89</f>
        <v>901677</v>
      </c>
      <c r="L92" s="30">
        <f t="shared" si="43"/>
        <v>964948</v>
      </c>
    </row>
    <row r="95" spans="2:12" x14ac:dyDescent="0.3">
      <c r="B95" s="34" t="s">
        <v>119</v>
      </c>
    </row>
    <row r="96" spans="2:12" x14ac:dyDescent="0.3">
      <c r="I96" s="38"/>
      <c r="J96" s="37"/>
      <c r="K96" s="37"/>
      <c r="L96" s="37"/>
    </row>
    <row r="97" spans="2:12" ht="15" thickBot="1" x14ac:dyDescent="0.35">
      <c r="B97" s="36"/>
      <c r="C97" s="16">
        <f t="shared" ref="C97:J97" si="44">+C7</f>
        <v>2010</v>
      </c>
      <c r="D97" s="16">
        <f t="shared" si="44"/>
        <v>2011</v>
      </c>
      <c r="E97" s="16">
        <f t="shared" si="44"/>
        <v>2012</v>
      </c>
      <c r="F97" s="16">
        <f t="shared" si="44"/>
        <v>2013</v>
      </c>
      <c r="G97" s="16">
        <f t="shared" si="44"/>
        <v>2014</v>
      </c>
      <c r="H97" s="35">
        <f t="shared" si="44"/>
        <v>2015</v>
      </c>
      <c r="I97" s="35">
        <f t="shared" si="44"/>
        <v>2016</v>
      </c>
      <c r="J97" s="35">
        <f t="shared" si="44"/>
        <v>2017</v>
      </c>
      <c r="K97" s="35">
        <f>+$K$7</f>
        <v>2018</v>
      </c>
      <c r="L97" s="35">
        <v>2019</v>
      </c>
    </row>
    <row r="98" spans="2:12" x14ac:dyDescent="0.3">
      <c r="B98" s="34" t="s">
        <v>91</v>
      </c>
      <c r="C98" s="33">
        <f t="shared" ref="C98:J98" si="45">SUM(C99:C106)</f>
        <v>204082</v>
      </c>
      <c r="D98" s="33">
        <f t="shared" si="45"/>
        <v>173023</v>
      </c>
      <c r="E98" s="33">
        <f t="shared" si="45"/>
        <v>170210</v>
      </c>
      <c r="F98" s="33">
        <f t="shared" si="45"/>
        <v>155888</v>
      </c>
      <c r="G98" s="33">
        <f t="shared" si="45"/>
        <v>157785</v>
      </c>
      <c r="H98" s="33">
        <f t="shared" si="45"/>
        <v>157246</v>
      </c>
      <c r="I98" s="33">
        <f t="shared" si="45"/>
        <v>165817</v>
      </c>
      <c r="J98" s="33">
        <f t="shared" si="45"/>
        <v>202980</v>
      </c>
      <c r="K98" s="33">
        <f t="shared" ref="K98" si="46">SUM(K99:K106)</f>
        <v>238851</v>
      </c>
      <c r="L98" s="33">
        <f t="shared" ref="L98" si="47">SUM(L99:L106)</f>
        <v>286828</v>
      </c>
    </row>
    <row r="99" spans="2:12" x14ac:dyDescent="0.3">
      <c r="B99" s="253" t="s">
        <v>92</v>
      </c>
      <c r="C99" s="254">
        <v>88694</v>
      </c>
      <c r="D99" s="254">
        <v>65906</v>
      </c>
      <c r="E99" s="254">
        <v>65337</v>
      </c>
      <c r="F99" s="254">
        <v>56438</v>
      </c>
      <c r="G99" s="254">
        <v>57439</v>
      </c>
      <c r="H99" s="254">
        <v>57823</v>
      </c>
      <c r="I99" s="254">
        <v>62625</v>
      </c>
      <c r="J99" s="254">
        <v>91568</v>
      </c>
      <c r="K99" s="254">
        <v>115093</v>
      </c>
      <c r="L99" s="254">
        <v>129834</v>
      </c>
    </row>
    <row r="100" spans="2:12" x14ac:dyDescent="0.3">
      <c r="B100" s="253" t="s">
        <v>93</v>
      </c>
      <c r="C100" s="254">
        <v>7638</v>
      </c>
      <c r="D100" s="254">
        <v>8112</v>
      </c>
      <c r="E100" s="254">
        <v>8862</v>
      </c>
      <c r="F100" s="254">
        <v>10657</v>
      </c>
      <c r="G100" s="254">
        <v>12250</v>
      </c>
      <c r="H100" s="254">
        <v>12516</v>
      </c>
      <c r="I100" s="254">
        <v>10778</v>
      </c>
      <c r="J100" s="254">
        <v>10793</v>
      </c>
      <c r="K100" s="254">
        <v>15626</v>
      </c>
      <c r="L100" s="254">
        <v>29758</v>
      </c>
    </row>
    <row r="101" spans="2:12" x14ac:dyDescent="0.3">
      <c r="B101" s="253" t="s">
        <v>94</v>
      </c>
      <c r="C101" s="254">
        <v>1753</v>
      </c>
      <c r="D101" s="254">
        <v>1778</v>
      </c>
      <c r="E101" s="254">
        <v>1759</v>
      </c>
      <c r="F101" s="254">
        <v>1844</v>
      </c>
      <c r="G101" s="254">
        <v>1902</v>
      </c>
      <c r="H101" s="254">
        <v>1851</v>
      </c>
      <c r="I101" s="254">
        <v>1773</v>
      </c>
      <c r="J101" s="254">
        <v>1970</v>
      </c>
      <c r="K101" s="254">
        <v>2130</v>
      </c>
      <c r="L101" s="254">
        <v>2505</v>
      </c>
    </row>
    <row r="102" spans="2:12" x14ac:dyDescent="0.3">
      <c r="B102" s="253" t="s">
        <v>95</v>
      </c>
      <c r="C102" s="254">
        <v>8416</v>
      </c>
      <c r="D102" s="254">
        <v>9397</v>
      </c>
      <c r="E102" s="254">
        <v>9737</v>
      </c>
      <c r="F102" s="254">
        <v>10134</v>
      </c>
      <c r="G102" s="254">
        <v>9912</v>
      </c>
      <c r="H102" s="254">
        <v>10691</v>
      </c>
      <c r="I102" s="254">
        <v>11988</v>
      </c>
      <c r="J102" s="254">
        <v>13496</v>
      </c>
      <c r="K102" s="254">
        <v>12292</v>
      </c>
      <c r="L102" s="254">
        <v>13592</v>
      </c>
    </row>
    <row r="103" spans="2:12" x14ac:dyDescent="0.3">
      <c r="B103" s="253" t="s">
        <v>96</v>
      </c>
      <c r="C103" s="254">
        <v>87450</v>
      </c>
      <c r="D103" s="254">
        <v>76214</v>
      </c>
      <c r="E103" s="254">
        <v>71410</v>
      </c>
      <c r="F103" s="254">
        <v>64670</v>
      </c>
      <c r="G103" s="254">
        <v>63572</v>
      </c>
      <c r="H103" s="254">
        <v>58537</v>
      </c>
      <c r="I103" s="254">
        <v>61666</v>
      </c>
      <c r="J103" s="254">
        <v>66771</v>
      </c>
      <c r="K103" s="254">
        <v>73755</v>
      </c>
      <c r="L103" s="254">
        <v>91654</v>
      </c>
    </row>
    <row r="104" spans="2:12" x14ac:dyDescent="0.3">
      <c r="B104" s="253" t="s">
        <v>97</v>
      </c>
      <c r="C104" s="254">
        <v>48</v>
      </c>
      <c r="D104" s="254">
        <v>25</v>
      </c>
      <c r="E104" s="254">
        <v>11</v>
      </c>
      <c r="F104" s="254">
        <v>0</v>
      </c>
      <c r="G104" s="254">
        <v>0</v>
      </c>
      <c r="H104" s="254">
        <v>0</v>
      </c>
      <c r="I104" s="254">
        <v>0</v>
      </c>
      <c r="J104" s="254">
        <v>0</v>
      </c>
      <c r="K104" s="254">
        <v>0</v>
      </c>
      <c r="L104" s="254">
        <v>0</v>
      </c>
    </row>
    <row r="105" spans="2:12" x14ac:dyDescent="0.3">
      <c r="B105" s="253" t="s">
        <v>63</v>
      </c>
      <c r="C105" s="254">
        <v>9975</v>
      </c>
      <c r="D105" s="254">
        <v>11457</v>
      </c>
      <c r="E105" s="254">
        <v>12955</v>
      </c>
      <c r="F105" s="254">
        <v>12017</v>
      </c>
      <c r="G105" s="254">
        <v>12577</v>
      </c>
      <c r="H105" s="254">
        <v>15663</v>
      </c>
      <c r="I105" s="254">
        <v>16824</v>
      </c>
      <c r="J105" s="254">
        <v>18242</v>
      </c>
      <c r="K105" s="254">
        <v>19832</v>
      </c>
      <c r="L105" s="254">
        <v>19397</v>
      </c>
    </row>
    <row r="106" spans="2:12" ht="15" thickBot="1" x14ac:dyDescent="0.35">
      <c r="B106" s="32" t="s">
        <v>99</v>
      </c>
      <c r="C106" s="13">
        <v>108</v>
      </c>
      <c r="D106" s="13">
        <v>134</v>
      </c>
      <c r="E106" s="13">
        <v>139</v>
      </c>
      <c r="F106" s="13">
        <v>128</v>
      </c>
      <c r="G106" s="13">
        <v>133</v>
      </c>
      <c r="H106" s="13">
        <v>165</v>
      </c>
      <c r="I106" s="13">
        <v>163</v>
      </c>
      <c r="J106" s="13">
        <v>140</v>
      </c>
      <c r="K106" s="13">
        <v>123</v>
      </c>
      <c r="L106" s="13">
        <v>88</v>
      </c>
    </row>
    <row r="107" spans="2:12" x14ac:dyDescent="0.3">
      <c r="B107" s="34" t="s">
        <v>100</v>
      </c>
      <c r="C107" s="33">
        <f t="shared" ref="C107:J107" si="48">SUM(C108:C115)</f>
        <v>187524</v>
      </c>
      <c r="D107" s="33">
        <f t="shared" si="48"/>
        <v>177661</v>
      </c>
      <c r="E107" s="33">
        <f t="shared" si="48"/>
        <v>161792</v>
      </c>
      <c r="F107" s="33">
        <f t="shared" si="48"/>
        <v>150209</v>
      </c>
      <c r="G107" s="33">
        <f t="shared" si="48"/>
        <v>144714</v>
      </c>
      <c r="H107" s="33">
        <f t="shared" si="48"/>
        <v>128323</v>
      </c>
      <c r="I107" s="33">
        <f t="shared" si="48"/>
        <v>120786</v>
      </c>
      <c r="J107" s="33">
        <f t="shared" si="48"/>
        <v>118318</v>
      </c>
      <c r="K107" s="33">
        <f t="shared" ref="K107" si="49">SUM(K108:K115)</f>
        <v>120790</v>
      </c>
      <c r="L107" s="33">
        <f t="shared" ref="L107" si="50">SUM(L108:L115)</f>
        <v>130946</v>
      </c>
    </row>
    <row r="108" spans="2:12" x14ac:dyDescent="0.3">
      <c r="B108" s="253" t="s">
        <v>120</v>
      </c>
      <c r="C108" s="254">
        <v>65230</v>
      </c>
      <c r="D108" s="254">
        <v>57785</v>
      </c>
      <c r="E108" s="254">
        <v>51972</v>
      </c>
      <c r="F108" s="254">
        <v>45334</v>
      </c>
      <c r="G108" s="254">
        <v>44203</v>
      </c>
      <c r="H108" s="254">
        <v>38188</v>
      </c>
      <c r="I108" s="254">
        <v>35679</v>
      </c>
      <c r="J108" s="254">
        <v>35100</v>
      </c>
      <c r="K108" s="254">
        <v>36731</v>
      </c>
      <c r="L108" s="254">
        <v>42835</v>
      </c>
    </row>
    <row r="109" spans="2:12" x14ac:dyDescent="0.3">
      <c r="B109" s="253" t="s">
        <v>96</v>
      </c>
      <c r="C109" s="254">
        <v>68933</v>
      </c>
      <c r="D109" s="254">
        <v>70231</v>
      </c>
      <c r="E109" s="254">
        <v>60030</v>
      </c>
      <c r="F109" s="254">
        <v>55943</v>
      </c>
      <c r="G109" s="254">
        <v>51318</v>
      </c>
      <c r="H109" s="254">
        <v>43342</v>
      </c>
      <c r="I109" s="254">
        <v>41660</v>
      </c>
      <c r="J109" s="254">
        <v>40505</v>
      </c>
      <c r="K109" s="254">
        <v>42243</v>
      </c>
      <c r="L109" s="254">
        <v>45986</v>
      </c>
    </row>
    <row r="110" spans="2:12" x14ac:dyDescent="0.3">
      <c r="B110" s="253" t="s">
        <v>102</v>
      </c>
      <c r="C110" s="254">
        <v>6450</v>
      </c>
      <c r="D110" s="254">
        <v>5454</v>
      </c>
      <c r="E110" s="254">
        <v>4713</v>
      </c>
      <c r="F110" s="254">
        <v>3735</v>
      </c>
      <c r="G110" s="254">
        <v>3875</v>
      </c>
      <c r="H110" s="254">
        <v>4288</v>
      </c>
      <c r="I110" s="254">
        <v>4622</v>
      </c>
      <c r="J110" s="254">
        <v>4978</v>
      </c>
      <c r="K110" s="254">
        <v>5252</v>
      </c>
      <c r="L110" s="254">
        <v>6292</v>
      </c>
    </row>
    <row r="111" spans="2:12" x14ac:dyDescent="0.3">
      <c r="B111" s="253" t="s">
        <v>97</v>
      </c>
      <c r="C111" s="254">
        <v>3801</v>
      </c>
      <c r="D111" s="254">
        <v>3313</v>
      </c>
      <c r="E111" s="254">
        <v>2576</v>
      </c>
      <c r="F111" s="254">
        <v>2332</v>
      </c>
      <c r="G111" s="254">
        <v>2228</v>
      </c>
      <c r="H111" s="254">
        <v>2407</v>
      </c>
      <c r="I111" s="254">
        <v>2739</v>
      </c>
      <c r="J111" s="254">
        <v>2742</v>
      </c>
      <c r="K111" s="254">
        <v>2825</v>
      </c>
      <c r="L111" s="254">
        <v>3531</v>
      </c>
    </row>
    <row r="112" spans="2:12" x14ac:dyDescent="0.3">
      <c r="B112" s="253" t="s">
        <v>103</v>
      </c>
      <c r="C112" s="254">
        <v>3253</v>
      </c>
      <c r="D112" s="254">
        <v>1464</v>
      </c>
      <c r="E112" s="254">
        <v>1376</v>
      </c>
      <c r="F112" s="254">
        <v>2246</v>
      </c>
      <c r="G112" s="254">
        <v>4075</v>
      </c>
      <c r="H112" s="254">
        <v>6220</v>
      </c>
      <c r="I112" s="254">
        <v>6327</v>
      </c>
      <c r="J112" s="254">
        <v>6415</v>
      </c>
      <c r="K112" s="254">
        <v>6160</v>
      </c>
      <c r="L112" s="254">
        <v>5000</v>
      </c>
    </row>
    <row r="113" spans="2:12" x14ac:dyDescent="0.3">
      <c r="B113" s="253" t="s">
        <v>104</v>
      </c>
      <c r="C113" s="254">
        <v>31606</v>
      </c>
      <c r="D113" s="254">
        <v>32494</v>
      </c>
      <c r="E113" s="254">
        <v>34170</v>
      </c>
      <c r="F113" s="254">
        <v>33659</v>
      </c>
      <c r="G113" s="254">
        <v>33040</v>
      </c>
      <c r="H113" s="254">
        <v>28174</v>
      </c>
      <c r="I113" s="254">
        <v>24671</v>
      </c>
      <c r="J113" s="254">
        <v>23467</v>
      </c>
      <c r="K113" s="254">
        <v>22359</v>
      </c>
      <c r="L113" s="254">
        <v>21905</v>
      </c>
    </row>
    <row r="114" spans="2:12" x14ac:dyDescent="0.3">
      <c r="B114" s="253" t="s">
        <v>114</v>
      </c>
      <c r="C114" s="254">
        <v>8217</v>
      </c>
      <c r="D114" s="254">
        <v>6888</v>
      </c>
      <c r="E114" s="254">
        <v>6918</v>
      </c>
      <c r="F114" s="254">
        <v>6924</v>
      </c>
      <c r="G114" s="254">
        <v>5899</v>
      </c>
      <c r="H114" s="254">
        <v>5666</v>
      </c>
      <c r="I114" s="254">
        <v>5062</v>
      </c>
      <c r="J114" s="254">
        <v>4968</v>
      </c>
      <c r="K114" s="254">
        <v>5052</v>
      </c>
      <c r="L114" s="254">
        <v>5102</v>
      </c>
    </row>
    <row r="115" spans="2:12" ht="15" thickBot="1" x14ac:dyDescent="0.35">
      <c r="B115" s="32" t="s">
        <v>99</v>
      </c>
      <c r="C115" s="13">
        <v>34</v>
      </c>
      <c r="D115" s="13">
        <v>32</v>
      </c>
      <c r="E115" s="13">
        <v>37</v>
      </c>
      <c r="F115" s="13">
        <v>36</v>
      </c>
      <c r="G115" s="13">
        <v>76</v>
      </c>
      <c r="H115" s="13">
        <v>38</v>
      </c>
      <c r="I115" s="13">
        <v>26</v>
      </c>
      <c r="J115" s="13">
        <v>143</v>
      </c>
      <c r="K115" s="13">
        <v>168</v>
      </c>
      <c r="L115" s="13">
        <v>295</v>
      </c>
    </row>
    <row r="116" spans="2:12" x14ac:dyDescent="0.3">
      <c r="B116" s="34" t="s">
        <v>106</v>
      </c>
      <c r="C116" s="33">
        <f t="shared" ref="C116:J116" si="51">SUM(C117:C118)</f>
        <v>33169</v>
      </c>
      <c r="D116" s="33">
        <f t="shared" si="51"/>
        <v>33368</v>
      </c>
      <c r="E116" s="33">
        <f t="shared" si="51"/>
        <v>29974</v>
      </c>
      <c r="F116" s="33">
        <f t="shared" si="51"/>
        <v>26562</v>
      </c>
      <c r="G116" s="33">
        <f t="shared" si="51"/>
        <v>25067</v>
      </c>
      <c r="H116" s="33">
        <f t="shared" si="51"/>
        <v>20637</v>
      </c>
      <c r="I116" s="33">
        <f t="shared" si="51"/>
        <v>20227</v>
      </c>
      <c r="J116" s="33">
        <f t="shared" si="51"/>
        <v>21593</v>
      </c>
      <c r="K116" s="33">
        <f t="shared" ref="K116" si="52">SUM(K117:K118)</f>
        <v>21425</v>
      </c>
      <c r="L116" s="33">
        <f t="shared" ref="L116" si="53">SUM(L117:L118)</f>
        <v>21701</v>
      </c>
    </row>
    <row r="117" spans="2:12" x14ac:dyDescent="0.3">
      <c r="B117" s="253" t="s">
        <v>107</v>
      </c>
      <c r="C117" s="254">
        <v>17679</v>
      </c>
      <c r="D117" s="254">
        <v>17992</v>
      </c>
      <c r="E117" s="254">
        <v>15982</v>
      </c>
      <c r="F117" s="254">
        <v>14247</v>
      </c>
      <c r="G117" s="254">
        <v>13364</v>
      </c>
      <c r="H117" s="254">
        <v>10180</v>
      </c>
      <c r="I117" s="254">
        <v>9639</v>
      </c>
      <c r="J117" s="254">
        <v>10654</v>
      </c>
      <c r="K117" s="254">
        <v>10867</v>
      </c>
      <c r="L117" s="254">
        <v>11654</v>
      </c>
    </row>
    <row r="118" spans="2:12" ht="15" thickBot="1" x14ac:dyDescent="0.35">
      <c r="B118" s="32" t="s">
        <v>108</v>
      </c>
      <c r="C118" s="13">
        <v>15490</v>
      </c>
      <c r="D118" s="13">
        <v>15376</v>
      </c>
      <c r="E118" s="13">
        <v>13992</v>
      </c>
      <c r="F118" s="13">
        <v>12315</v>
      </c>
      <c r="G118" s="13">
        <v>11703</v>
      </c>
      <c r="H118" s="13">
        <v>10457</v>
      </c>
      <c r="I118" s="13">
        <v>10588</v>
      </c>
      <c r="J118" s="13">
        <v>10939</v>
      </c>
      <c r="K118" s="13">
        <v>10558</v>
      </c>
      <c r="L118" s="13">
        <v>10047</v>
      </c>
    </row>
    <row r="119" spans="2:12" x14ac:dyDescent="0.3">
      <c r="B119" s="34" t="s">
        <v>109</v>
      </c>
      <c r="C119" s="33">
        <f t="shared" ref="C119:J119" si="54">SUM(C120:C121)</f>
        <v>41099</v>
      </c>
      <c r="D119" s="33">
        <f t="shared" si="54"/>
        <v>44986</v>
      </c>
      <c r="E119" s="33">
        <f t="shared" si="54"/>
        <v>47564</v>
      </c>
      <c r="F119" s="33">
        <f t="shared" si="54"/>
        <v>51625</v>
      </c>
      <c r="G119" s="33">
        <f t="shared" si="54"/>
        <v>51097</v>
      </c>
      <c r="H119" s="33">
        <f t="shared" si="54"/>
        <v>48112</v>
      </c>
      <c r="I119" s="33">
        <f t="shared" si="54"/>
        <v>43235</v>
      </c>
      <c r="J119" s="33">
        <f t="shared" si="54"/>
        <v>41783</v>
      </c>
      <c r="K119" s="33">
        <f t="shared" ref="K119" si="55">SUM(K120:K121)</f>
        <v>41843</v>
      </c>
      <c r="L119" s="33">
        <f t="shared" ref="L119" si="56">SUM(L120:L121)</f>
        <v>46116</v>
      </c>
    </row>
    <row r="120" spans="2:12" x14ac:dyDescent="0.3">
      <c r="B120" s="253" t="s">
        <v>110</v>
      </c>
      <c r="C120" s="254">
        <v>35145</v>
      </c>
      <c r="D120" s="254">
        <v>39299</v>
      </c>
      <c r="E120" s="254">
        <v>42684</v>
      </c>
      <c r="F120" s="254">
        <v>48678</v>
      </c>
      <c r="G120" s="254">
        <v>49053</v>
      </c>
      <c r="H120" s="254">
        <v>46611</v>
      </c>
      <c r="I120" s="254">
        <v>41687</v>
      </c>
      <c r="J120" s="254">
        <v>40656</v>
      </c>
      <c r="K120" s="254">
        <v>40252</v>
      </c>
      <c r="L120" s="254">
        <v>43792</v>
      </c>
    </row>
    <row r="121" spans="2:12" ht="15" thickBot="1" x14ac:dyDescent="0.35">
      <c r="B121" s="32" t="s">
        <v>111</v>
      </c>
      <c r="C121" s="13">
        <v>5954</v>
      </c>
      <c r="D121" s="13">
        <v>5687</v>
      </c>
      <c r="E121" s="13">
        <v>4880</v>
      </c>
      <c r="F121" s="13">
        <v>2947</v>
      </c>
      <c r="G121" s="13">
        <v>2044</v>
      </c>
      <c r="H121" s="13">
        <v>1501</v>
      </c>
      <c r="I121" s="13">
        <v>1548</v>
      </c>
      <c r="J121" s="13">
        <v>1127</v>
      </c>
      <c r="K121" s="13">
        <v>1591</v>
      </c>
      <c r="L121" s="13">
        <v>2324</v>
      </c>
    </row>
    <row r="122" spans="2:12" ht="15" thickBot="1" x14ac:dyDescent="0.35">
      <c r="B122" s="31" t="s">
        <v>121</v>
      </c>
      <c r="C122" s="30">
        <f t="shared" ref="C122:J122" si="57">C98+C107+C116+C119</f>
        <v>465874</v>
      </c>
      <c r="D122" s="30">
        <f t="shared" si="57"/>
        <v>429038</v>
      </c>
      <c r="E122" s="30">
        <f t="shared" si="57"/>
        <v>409540</v>
      </c>
      <c r="F122" s="30">
        <f t="shared" si="57"/>
        <v>384284</v>
      </c>
      <c r="G122" s="30">
        <f t="shared" si="57"/>
        <v>378663</v>
      </c>
      <c r="H122" s="30">
        <f t="shared" si="57"/>
        <v>354318</v>
      </c>
      <c r="I122" s="30">
        <f t="shared" si="57"/>
        <v>350065</v>
      </c>
      <c r="J122" s="30">
        <f t="shared" si="57"/>
        <v>384674</v>
      </c>
      <c r="K122" s="30">
        <f t="shared" ref="K122:L122" si="58">K98+K107+K116+K119</f>
        <v>422909</v>
      </c>
      <c r="L122" s="30">
        <f t="shared" si="58"/>
        <v>485591</v>
      </c>
    </row>
    <row r="125" spans="2:12" x14ac:dyDescent="0.3">
      <c r="B125" s="34" t="s">
        <v>122</v>
      </c>
    </row>
    <row r="126" spans="2:12" x14ac:dyDescent="0.3">
      <c r="H126" s="38"/>
      <c r="I126" s="38"/>
      <c r="J126" s="37"/>
      <c r="K126" s="37"/>
      <c r="L126" s="37"/>
    </row>
    <row r="127" spans="2:12" ht="15" thickBot="1" x14ac:dyDescent="0.35">
      <c r="B127" s="36"/>
      <c r="C127" s="16">
        <v>2010</v>
      </c>
      <c r="D127" s="16">
        <v>2011</v>
      </c>
      <c r="E127" s="16">
        <v>2012</v>
      </c>
      <c r="F127" s="16">
        <v>2013</v>
      </c>
      <c r="G127" s="16">
        <v>2014</v>
      </c>
      <c r="H127" s="16">
        <v>2015</v>
      </c>
      <c r="I127" s="16">
        <v>2016</v>
      </c>
      <c r="J127" s="16">
        <v>2017</v>
      </c>
      <c r="K127" s="16">
        <v>2018</v>
      </c>
      <c r="L127" s="16">
        <v>2019</v>
      </c>
    </row>
    <row r="128" spans="2:12" x14ac:dyDescent="0.3">
      <c r="B128" s="34" t="s">
        <v>91</v>
      </c>
      <c r="C128" s="33">
        <f t="shared" ref="C128:K128" si="59">SUM(C129:C136)</f>
        <v>263477</v>
      </c>
      <c r="D128" s="33">
        <f t="shared" si="59"/>
        <v>307731</v>
      </c>
      <c r="E128" s="33">
        <f t="shared" si="59"/>
        <v>325550</v>
      </c>
      <c r="F128" s="33">
        <f t="shared" si="59"/>
        <v>343628</v>
      </c>
      <c r="G128" s="33">
        <f t="shared" si="59"/>
        <v>352811</v>
      </c>
      <c r="H128" s="33">
        <f t="shared" si="59"/>
        <v>361356</v>
      </c>
      <c r="I128" s="33">
        <f t="shared" si="59"/>
        <v>368809</v>
      </c>
      <c r="J128" s="33">
        <f t="shared" si="59"/>
        <v>368993</v>
      </c>
      <c r="K128" s="33">
        <f t="shared" si="59"/>
        <v>363399</v>
      </c>
      <c r="L128" s="33">
        <f t="shared" ref="L128" si="60">SUM(L129:L136)</f>
        <v>357572</v>
      </c>
    </row>
    <row r="129" spans="2:12" x14ac:dyDescent="0.3">
      <c r="B129" s="253" t="s">
        <v>92</v>
      </c>
      <c r="C129" s="254">
        <v>144939</v>
      </c>
      <c r="D129" s="254">
        <v>168830</v>
      </c>
      <c r="E129" s="254">
        <v>171936</v>
      </c>
      <c r="F129" s="254">
        <v>174222</v>
      </c>
      <c r="G129" s="254">
        <v>177482</v>
      </c>
      <c r="H129" s="254">
        <v>178180</v>
      </c>
      <c r="I129" s="254">
        <v>178363</v>
      </c>
      <c r="J129" s="254">
        <v>175545</v>
      </c>
      <c r="K129" s="254">
        <v>171565</v>
      </c>
      <c r="L129" s="254">
        <v>165459</v>
      </c>
    </row>
    <row r="130" spans="2:12" x14ac:dyDescent="0.3">
      <c r="B130" s="253" t="s">
        <v>93</v>
      </c>
      <c r="C130" s="254">
        <v>2692</v>
      </c>
      <c r="D130" s="254">
        <v>3384</v>
      </c>
      <c r="E130" s="254">
        <v>3759</v>
      </c>
      <c r="F130" s="254">
        <v>4120</v>
      </c>
      <c r="G130" s="254">
        <v>4822</v>
      </c>
      <c r="H130" s="254">
        <v>5422</v>
      </c>
      <c r="I130" s="254">
        <v>5689</v>
      </c>
      <c r="J130" s="254">
        <v>5884</v>
      </c>
      <c r="K130" s="254">
        <v>5973</v>
      </c>
      <c r="L130" s="254">
        <v>5860</v>
      </c>
    </row>
    <row r="131" spans="2:12" x14ac:dyDescent="0.3">
      <c r="B131" s="253" t="s">
        <v>94</v>
      </c>
      <c r="C131" s="254">
        <v>815</v>
      </c>
      <c r="D131" s="254">
        <v>1127</v>
      </c>
      <c r="E131" s="254">
        <v>1340</v>
      </c>
      <c r="F131" s="254">
        <v>1534</v>
      </c>
      <c r="G131" s="254">
        <v>1764</v>
      </c>
      <c r="H131" s="254">
        <v>2061</v>
      </c>
      <c r="I131" s="254">
        <v>2357</v>
      </c>
      <c r="J131" s="254">
        <v>2533</v>
      </c>
      <c r="K131" s="254">
        <v>2655</v>
      </c>
      <c r="L131" s="254">
        <v>2871</v>
      </c>
    </row>
    <row r="132" spans="2:12" x14ac:dyDescent="0.3">
      <c r="B132" s="253" t="s">
        <v>95</v>
      </c>
      <c r="C132" s="254">
        <v>4886</v>
      </c>
      <c r="D132" s="254">
        <v>5715</v>
      </c>
      <c r="E132" s="254">
        <v>6732</v>
      </c>
      <c r="F132" s="254">
        <v>7551</v>
      </c>
      <c r="G132" s="254">
        <v>8207</v>
      </c>
      <c r="H132" s="254">
        <v>9243</v>
      </c>
      <c r="I132" s="254">
        <v>9704</v>
      </c>
      <c r="J132" s="254">
        <v>10555</v>
      </c>
      <c r="K132" s="254">
        <v>10650</v>
      </c>
      <c r="L132" s="254">
        <v>11022</v>
      </c>
    </row>
    <row r="133" spans="2:12" x14ac:dyDescent="0.3">
      <c r="B133" s="253" t="s">
        <v>96</v>
      </c>
      <c r="C133" s="254">
        <v>109693</v>
      </c>
      <c r="D133" s="254">
        <v>128299</v>
      </c>
      <c r="E133" s="254">
        <v>141466</v>
      </c>
      <c r="F133" s="254">
        <v>155907</v>
      </c>
      <c r="G133" s="254">
        <v>159669</v>
      </c>
      <c r="H133" s="254">
        <v>165188</v>
      </c>
      <c r="I133" s="254">
        <v>171314</v>
      </c>
      <c r="J133" s="254">
        <v>174476</v>
      </c>
      <c r="K133" s="254">
        <v>172556</v>
      </c>
      <c r="L133" s="254">
        <v>172360</v>
      </c>
    </row>
    <row r="134" spans="2:12" x14ac:dyDescent="0.3">
      <c r="B134" s="253" t="s">
        <v>97</v>
      </c>
      <c r="C134" s="254">
        <v>452</v>
      </c>
      <c r="D134" s="254">
        <v>376</v>
      </c>
      <c r="E134" s="254">
        <v>317</v>
      </c>
      <c r="F134" s="254">
        <v>294</v>
      </c>
      <c r="G134" s="254">
        <v>867</v>
      </c>
      <c r="H134" s="254">
        <v>1262</v>
      </c>
      <c r="I134" s="254">
        <v>1382</v>
      </c>
      <c r="J134" s="254">
        <v>0</v>
      </c>
      <c r="K134" s="254">
        <v>0</v>
      </c>
      <c r="L134" s="254">
        <v>0</v>
      </c>
    </row>
    <row r="135" spans="2:12" x14ac:dyDescent="0.3">
      <c r="B135" s="253" t="s">
        <v>98</v>
      </c>
      <c r="C135" s="254">
        <v>0</v>
      </c>
      <c r="D135" s="254">
        <v>0</v>
      </c>
      <c r="E135" s="254">
        <v>0</v>
      </c>
      <c r="F135" s="254">
        <v>0</v>
      </c>
      <c r="G135" s="254">
        <v>0</v>
      </c>
      <c r="H135" s="254">
        <v>0</v>
      </c>
      <c r="I135" s="254">
        <v>0</v>
      </c>
      <c r="J135" s="254">
        <v>0</v>
      </c>
      <c r="K135" s="254">
        <v>0</v>
      </c>
      <c r="L135" s="254">
        <v>0</v>
      </c>
    </row>
    <row r="136" spans="2:12" ht="15" thickBot="1" x14ac:dyDescent="0.35">
      <c r="B136" s="32" t="s">
        <v>99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</row>
    <row r="137" spans="2:12" x14ac:dyDescent="0.3">
      <c r="B137" s="34" t="s">
        <v>100</v>
      </c>
      <c r="C137" s="33">
        <f t="shared" ref="C137:K137" si="61">SUM(C138:C146)</f>
        <v>97866</v>
      </c>
      <c r="D137" s="33">
        <f t="shared" si="61"/>
        <v>102485</v>
      </c>
      <c r="E137" s="33">
        <f t="shared" si="61"/>
        <v>96009</v>
      </c>
      <c r="F137" s="33">
        <f t="shared" si="61"/>
        <v>85494</v>
      </c>
      <c r="G137" s="33">
        <f t="shared" si="61"/>
        <v>77212</v>
      </c>
      <c r="H137" s="33">
        <f t="shared" si="61"/>
        <v>73719</v>
      </c>
      <c r="I137" s="33">
        <f t="shared" si="61"/>
        <v>73864</v>
      </c>
      <c r="J137" s="33">
        <f t="shared" si="61"/>
        <v>72889</v>
      </c>
      <c r="K137" s="33">
        <f t="shared" si="61"/>
        <v>73460</v>
      </c>
      <c r="L137" s="33">
        <f t="shared" ref="L137" si="62">SUM(L138:L146)</f>
        <v>65226</v>
      </c>
    </row>
    <row r="138" spans="2:12" x14ac:dyDescent="0.3">
      <c r="B138" s="253" t="s">
        <v>101</v>
      </c>
      <c r="C138" s="254">
        <v>9798</v>
      </c>
      <c r="D138" s="254">
        <v>10504</v>
      </c>
      <c r="E138" s="254">
        <v>10510</v>
      </c>
      <c r="F138" s="254">
        <v>10661</v>
      </c>
      <c r="G138" s="254">
        <v>9836</v>
      </c>
      <c r="H138" s="254">
        <v>9528</v>
      </c>
      <c r="I138" s="254">
        <v>8504</v>
      </c>
      <c r="J138" s="254">
        <v>7613</v>
      </c>
      <c r="K138" s="254">
        <v>8052</v>
      </c>
      <c r="L138" s="254"/>
    </row>
    <row r="139" spans="2:12" x14ac:dyDescent="0.3">
      <c r="B139" s="253" t="s">
        <v>96</v>
      </c>
      <c r="C139" s="254">
        <v>8418</v>
      </c>
      <c r="D139" s="254">
        <v>9080</v>
      </c>
      <c r="E139" s="254">
        <v>9509</v>
      </c>
      <c r="F139" s="254">
        <v>10075</v>
      </c>
      <c r="G139" s="254">
        <v>8974</v>
      </c>
      <c r="H139" s="254">
        <v>8652</v>
      </c>
      <c r="I139" s="254">
        <v>7537</v>
      </c>
      <c r="J139" s="254">
        <v>7015</v>
      </c>
      <c r="K139" s="254">
        <v>7002</v>
      </c>
      <c r="L139" s="254">
        <v>6853</v>
      </c>
    </row>
    <row r="140" spans="2:12" x14ac:dyDescent="0.3">
      <c r="B140" s="253" t="s">
        <v>102</v>
      </c>
      <c r="C140" s="254">
        <v>291</v>
      </c>
      <c r="D140" s="254">
        <v>354</v>
      </c>
      <c r="E140" s="254">
        <v>334</v>
      </c>
      <c r="F140" s="254">
        <v>318</v>
      </c>
      <c r="G140" s="254">
        <v>281</v>
      </c>
      <c r="H140" s="254">
        <v>277</v>
      </c>
      <c r="I140" s="254">
        <v>205</v>
      </c>
      <c r="J140" s="254">
        <v>202</v>
      </c>
      <c r="K140" s="254">
        <v>198</v>
      </c>
      <c r="L140" s="254">
        <v>173</v>
      </c>
    </row>
    <row r="141" spans="2:12" x14ac:dyDescent="0.3">
      <c r="B141" s="253" t="s">
        <v>97</v>
      </c>
      <c r="C141" s="254">
        <v>2600</v>
      </c>
      <c r="D141" s="254">
        <v>2412</v>
      </c>
      <c r="E141" s="254">
        <v>2202</v>
      </c>
      <c r="F141" s="254">
        <v>2079</v>
      </c>
      <c r="G141" s="254">
        <v>2079</v>
      </c>
      <c r="H141" s="254">
        <v>2434</v>
      </c>
      <c r="I141" s="254">
        <v>2194</v>
      </c>
      <c r="J141" s="254">
        <v>2427</v>
      </c>
      <c r="K141" s="254">
        <v>2703</v>
      </c>
      <c r="L141" s="254">
        <v>2398</v>
      </c>
    </row>
    <row r="142" spans="2:12" x14ac:dyDescent="0.3">
      <c r="B142" s="253" t="s">
        <v>103</v>
      </c>
      <c r="C142" s="254">
        <v>0</v>
      </c>
      <c r="D142" s="254">
        <v>0</v>
      </c>
      <c r="E142" s="254">
        <v>0</v>
      </c>
      <c r="F142" s="254">
        <v>0</v>
      </c>
      <c r="G142" s="254">
        <v>0</v>
      </c>
      <c r="H142" s="254">
        <v>0</v>
      </c>
      <c r="I142" s="254">
        <v>0</v>
      </c>
      <c r="J142" s="254">
        <v>0</v>
      </c>
      <c r="K142" s="254">
        <v>0</v>
      </c>
      <c r="L142" s="254">
        <v>0</v>
      </c>
    </row>
    <row r="143" spans="2:12" x14ac:dyDescent="0.3">
      <c r="B143" s="253" t="s">
        <v>104</v>
      </c>
      <c r="C143" s="254">
        <v>56387</v>
      </c>
      <c r="D143" s="254">
        <v>51880</v>
      </c>
      <c r="E143" s="254">
        <v>48908</v>
      </c>
      <c r="F143" s="254">
        <v>42763</v>
      </c>
      <c r="G143" s="254">
        <v>39018</v>
      </c>
      <c r="H143" s="254">
        <v>36057</v>
      </c>
      <c r="I143" s="254">
        <v>37826</v>
      </c>
      <c r="J143" s="254">
        <v>38540</v>
      </c>
      <c r="K143" s="254">
        <v>38120</v>
      </c>
      <c r="L143" s="254">
        <v>37255</v>
      </c>
    </row>
    <row r="144" spans="2:12" x14ac:dyDescent="0.3">
      <c r="B144" s="253" t="s">
        <v>123</v>
      </c>
      <c r="C144" s="254">
        <v>17078</v>
      </c>
      <c r="D144" s="254">
        <v>23947</v>
      </c>
      <c r="E144" s="254">
        <v>20801</v>
      </c>
      <c r="F144" s="254">
        <v>16590</v>
      </c>
      <c r="G144" s="254">
        <v>14339</v>
      </c>
      <c r="H144" s="254">
        <v>13874</v>
      </c>
      <c r="I144" s="254">
        <v>15074</v>
      </c>
      <c r="J144" s="254">
        <v>14367</v>
      </c>
      <c r="K144" s="254">
        <v>14312</v>
      </c>
      <c r="L144" s="254">
        <v>15481</v>
      </c>
    </row>
    <row r="145" spans="2:12" x14ac:dyDescent="0.3">
      <c r="B145" s="253" t="s">
        <v>105</v>
      </c>
      <c r="C145" s="254">
        <v>3292</v>
      </c>
      <c r="D145" s="254">
        <v>4306</v>
      </c>
      <c r="E145" s="254">
        <v>3743</v>
      </c>
      <c r="F145" s="254">
        <v>3007</v>
      </c>
      <c r="G145" s="254">
        <v>2684</v>
      </c>
      <c r="H145" s="254">
        <v>2897</v>
      </c>
      <c r="I145" s="254">
        <v>2523</v>
      </c>
      <c r="J145" s="254">
        <v>2722</v>
      </c>
      <c r="K145" s="254">
        <v>3070</v>
      </c>
      <c r="L145" s="254">
        <v>3064</v>
      </c>
    </row>
    <row r="146" spans="2:12" ht="15" thickBot="1" x14ac:dyDescent="0.35">
      <c r="B146" s="32" t="s">
        <v>99</v>
      </c>
      <c r="C146" s="13">
        <v>2</v>
      </c>
      <c r="D146" s="13">
        <v>2</v>
      </c>
      <c r="E146" s="13">
        <v>2</v>
      </c>
      <c r="F146" s="13">
        <v>1</v>
      </c>
      <c r="G146" s="13">
        <v>1</v>
      </c>
      <c r="H146" s="13">
        <v>0</v>
      </c>
      <c r="I146" s="13">
        <v>1</v>
      </c>
      <c r="J146" s="13">
        <v>3</v>
      </c>
      <c r="K146" s="13">
        <v>3</v>
      </c>
      <c r="L146" s="13">
        <v>2</v>
      </c>
    </row>
    <row r="147" spans="2:12" x14ac:dyDescent="0.3">
      <c r="B147" s="34" t="s">
        <v>106</v>
      </c>
      <c r="C147" s="33">
        <f t="shared" ref="C147:K147" si="63">SUM(C148:C149)</f>
        <v>473</v>
      </c>
      <c r="D147" s="33">
        <f t="shared" si="63"/>
        <v>504</v>
      </c>
      <c r="E147" s="33">
        <f t="shared" si="63"/>
        <v>584</v>
      </c>
      <c r="F147" s="33">
        <f t="shared" si="63"/>
        <v>688</v>
      </c>
      <c r="G147" s="33">
        <f t="shared" si="63"/>
        <v>726</v>
      </c>
      <c r="H147" s="33">
        <f t="shared" si="63"/>
        <v>750</v>
      </c>
      <c r="I147" s="33">
        <f t="shared" si="63"/>
        <v>661</v>
      </c>
      <c r="J147" s="33">
        <f t="shared" si="63"/>
        <v>660</v>
      </c>
      <c r="K147" s="33">
        <f t="shared" si="63"/>
        <v>656</v>
      </c>
      <c r="L147" s="33">
        <f t="shared" ref="L147" si="64">SUM(L148:L149)</f>
        <v>770</v>
      </c>
    </row>
    <row r="148" spans="2:12" x14ac:dyDescent="0.3">
      <c r="B148" s="253" t="s">
        <v>107</v>
      </c>
      <c r="C148" s="254">
        <v>201</v>
      </c>
      <c r="D148" s="254">
        <v>202</v>
      </c>
      <c r="E148" s="254">
        <v>251</v>
      </c>
      <c r="F148" s="254">
        <v>355</v>
      </c>
      <c r="G148" s="254">
        <v>364</v>
      </c>
      <c r="H148" s="254">
        <v>403</v>
      </c>
      <c r="I148" s="254">
        <v>430</v>
      </c>
      <c r="J148" s="254">
        <v>468</v>
      </c>
      <c r="K148" s="254">
        <v>465</v>
      </c>
      <c r="L148" s="254">
        <v>551</v>
      </c>
    </row>
    <row r="149" spans="2:12" ht="15" thickBot="1" x14ac:dyDescent="0.35">
      <c r="B149" s="32" t="s">
        <v>108</v>
      </c>
      <c r="C149" s="13">
        <v>272</v>
      </c>
      <c r="D149" s="13">
        <v>302</v>
      </c>
      <c r="E149" s="13">
        <v>333</v>
      </c>
      <c r="F149" s="13">
        <v>333</v>
      </c>
      <c r="G149" s="13">
        <v>362</v>
      </c>
      <c r="H149" s="13">
        <v>347</v>
      </c>
      <c r="I149" s="13">
        <v>231</v>
      </c>
      <c r="J149" s="13">
        <v>192</v>
      </c>
      <c r="K149" s="13">
        <v>191</v>
      </c>
      <c r="L149" s="13">
        <v>219</v>
      </c>
    </row>
    <row r="150" spans="2:12" x14ac:dyDescent="0.3">
      <c r="B150" s="34" t="s">
        <v>109</v>
      </c>
      <c r="C150" s="33">
        <f t="shared" ref="C150:K150" si="65">SUM(C151:C153)</f>
        <v>10197</v>
      </c>
      <c r="D150" s="33">
        <f t="shared" si="65"/>
        <v>11844</v>
      </c>
      <c r="E150" s="33">
        <f t="shared" si="65"/>
        <v>11719</v>
      </c>
      <c r="F150" s="33">
        <f t="shared" si="65"/>
        <v>10473</v>
      </c>
      <c r="G150" s="33">
        <f t="shared" si="65"/>
        <v>9098</v>
      </c>
      <c r="H150" s="33">
        <f t="shared" si="65"/>
        <v>8483</v>
      </c>
      <c r="I150" s="33">
        <f t="shared" si="65"/>
        <v>8701</v>
      </c>
      <c r="J150" s="33">
        <f t="shared" si="65"/>
        <v>9045</v>
      </c>
      <c r="K150" s="33">
        <f t="shared" si="65"/>
        <v>7628</v>
      </c>
      <c r="L150" s="33">
        <f t="shared" ref="L150" si="66">SUM(L151:L153)</f>
        <v>6584</v>
      </c>
    </row>
    <row r="151" spans="2:12" x14ac:dyDescent="0.3">
      <c r="B151" s="253" t="s">
        <v>110</v>
      </c>
      <c r="C151" s="254">
        <v>5476</v>
      </c>
      <c r="D151" s="254">
        <v>5790</v>
      </c>
      <c r="E151" s="254">
        <v>6156</v>
      </c>
      <c r="F151" s="254">
        <v>5797</v>
      </c>
      <c r="G151" s="254">
        <v>4625</v>
      </c>
      <c r="H151" s="254">
        <v>4191</v>
      </c>
      <c r="I151" s="254">
        <v>4845</v>
      </c>
      <c r="J151" s="254">
        <v>5242</v>
      </c>
      <c r="K151" s="254">
        <v>4739</v>
      </c>
      <c r="L151" s="254">
        <v>3555</v>
      </c>
    </row>
    <row r="152" spans="2:12" x14ac:dyDescent="0.3">
      <c r="B152" s="210" t="s">
        <v>124</v>
      </c>
      <c r="C152" s="211">
        <v>4721</v>
      </c>
      <c r="D152" s="211">
        <v>6054</v>
      </c>
      <c r="E152" s="211">
        <v>5563</v>
      </c>
      <c r="F152" s="211">
        <v>4676</v>
      </c>
      <c r="G152" s="211">
        <v>4473</v>
      </c>
      <c r="H152" s="211">
        <v>4292</v>
      </c>
      <c r="I152" s="211">
        <v>3856</v>
      </c>
      <c r="J152" s="211">
        <v>3803</v>
      </c>
      <c r="K152" s="211">
        <v>2889</v>
      </c>
      <c r="L152" s="211">
        <v>3029</v>
      </c>
    </row>
    <row r="153" spans="2:12" ht="15" thickBot="1" x14ac:dyDescent="0.35">
      <c r="B153" s="32" t="s">
        <v>111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</row>
    <row r="154" spans="2:12" ht="15" thickBot="1" x14ac:dyDescent="0.35">
      <c r="B154" s="31" t="s">
        <v>125</v>
      </c>
      <c r="C154" s="30">
        <f t="shared" ref="C154:L154" si="67">C128+C137+C147+C150</f>
        <v>372013</v>
      </c>
      <c r="D154" s="30">
        <f t="shared" si="67"/>
        <v>422564</v>
      </c>
      <c r="E154" s="30">
        <f t="shared" si="67"/>
        <v>433862</v>
      </c>
      <c r="F154" s="30">
        <f t="shared" si="67"/>
        <v>440283</v>
      </c>
      <c r="G154" s="30">
        <f t="shared" si="67"/>
        <v>439847</v>
      </c>
      <c r="H154" s="30">
        <f t="shared" si="67"/>
        <v>444308</v>
      </c>
      <c r="I154" s="30">
        <f t="shared" si="67"/>
        <v>452035</v>
      </c>
      <c r="J154" s="30">
        <f t="shared" si="67"/>
        <v>451587</v>
      </c>
      <c r="K154" s="30">
        <f t="shared" si="67"/>
        <v>445143</v>
      </c>
      <c r="L154" s="30">
        <f t="shared" si="67"/>
        <v>430152</v>
      </c>
    </row>
    <row r="157" spans="2:12" x14ac:dyDescent="0.3">
      <c r="B157" s="34" t="s">
        <v>126</v>
      </c>
    </row>
    <row r="158" spans="2:12" x14ac:dyDescent="0.3">
      <c r="C158" s="37"/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2:12" ht="15" thickBot="1" x14ac:dyDescent="0.35">
      <c r="B159" s="36"/>
      <c r="C159" s="35">
        <f>C127</f>
        <v>2010</v>
      </c>
      <c r="D159" s="35">
        <f t="shared" ref="D159:K159" si="68">D127</f>
        <v>2011</v>
      </c>
      <c r="E159" s="35">
        <f t="shared" si="68"/>
        <v>2012</v>
      </c>
      <c r="F159" s="35">
        <f t="shared" si="68"/>
        <v>2013</v>
      </c>
      <c r="G159" s="35">
        <f t="shared" si="68"/>
        <v>2014</v>
      </c>
      <c r="H159" s="35">
        <f t="shared" si="68"/>
        <v>2015</v>
      </c>
      <c r="I159" s="35">
        <f t="shared" si="68"/>
        <v>2016</v>
      </c>
      <c r="J159" s="35">
        <f t="shared" si="68"/>
        <v>2017</v>
      </c>
      <c r="K159" s="35">
        <f t="shared" si="68"/>
        <v>2018</v>
      </c>
      <c r="L159" s="35">
        <v>2019</v>
      </c>
    </row>
    <row r="160" spans="2:12" x14ac:dyDescent="0.3">
      <c r="B160" s="34" t="s">
        <v>91</v>
      </c>
      <c r="C160" s="33">
        <f t="shared" ref="C160:K160" si="69">SUM(C161:C168)</f>
        <v>116264</v>
      </c>
      <c r="D160" s="33">
        <f t="shared" si="69"/>
        <v>104440</v>
      </c>
      <c r="E160" s="33">
        <f t="shared" si="69"/>
        <v>109097</v>
      </c>
      <c r="F160" s="33">
        <f t="shared" si="69"/>
        <v>110992</v>
      </c>
      <c r="G160" s="33">
        <f t="shared" si="69"/>
        <v>100911</v>
      </c>
      <c r="H160" s="33">
        <f t="shared" si="69"/>
        <v>92301</v>
      </c>
      <c r="I160" s="33">
        <f t="shared" si="69"/>
        <v>85304</v>
      </c>
      <c r="J160" s="33">
        <f t="shared" si="69"/>
        <v>71634</v>
      </c>
      <c r="K160" s="33">
        <f t="shared" si="69"/>
        <v>75709</v>
      </c>
      <c r="L160" s="33">
        <f t="shared" ref="L160" si="70">SUM(L161:L168)</f>
        <v>79475</v>
      </c>
    </row>
    <row r="161" spans="2:12" x14ac:dyDescent="0.3">
      <c r="B161" s="253" t="s">
        <v>92</v>
      </c>
      <c r="C161" s="254">
        <v>63050</v>
      </c>
      <c r="D161" s="254">
        <v>55091</v>
      </c>
      <c r="E161" s="254">
        <v>56486</v>
      </c>
      <c r="F161" s="254">
        <v>56699</v>
      </c>
      <c r="G161" s="254">
        <v>51348</v>
      </c>
      <c r="H161" s="254">
        <v>47175</v>
      </c>
      <c r="I161" s="254">
        <v>41908</v>
      </c>
      <c r="J161" s="254">
        <v>36361</v>
      </c>
      <c r="K161" s="254">
        <v>37337</v>
      </c>
      <c r="L161" s="254">
        <v>41795</v>
      </c>
    </row>
    <row r="162" spans="2:12" x14ac:dyDescent="0.3">
      <c r="B162" s="253" t="s">
        <v>93</v>
      </c>
      <c r="C162" s="254">
        <v>1402</v>
      </c>
      <c r="D162" s="254">
        <v>1505</v>
      </c>
      <c r="E162" s="254">
        <v>1749</v>
      </c>
      <c r="F162" s="254">
        <v>1764</v>
      </c>
      <c r="G162" s="254">
        <v>1821</v>
      </c>
      <c r="H162" s="254">
        <v>1646</v>
      </c>
      <c r="I162" s="254">
        <v>1388</v>
      </c>
      <c r="J162" s="254">
        <v>1375</v>
      </c>
      <c r="K162" s="254">
        <v>1473</v>
      </c>
      <c r="L162" s="254">
        <v>1548</v>
      </c>
    </row>
    <row r="163" spans="2:12" x14ac:dyDescent="0.3">
      <c r="B163" s="253" t="s">
        <v>94</v>
      </c>
      <c r="C163" s="254">
        <v>608</v>
      </c>
      <c r="D163" s="254">
        <v>680</v>
      </c>
      <c r="E163" s="254">
        <v>725</v>
      </c>
      <c r="F163" s="254">
        <v>838</v>
      </c>
      <c r="G163" s="254">
        <v>858</v>
      </c>
      <c r="H163" s="254">
        <v>940</v>
      </c>
      <c r="I163" s="254">
        <v>940</v>
      </c>
      <c r="J163" s="254">
        <v>881</v>
      </c>
      <c r="K163" s="254">
        <v>900</v>
      </c>
      <c r="L163" s="254">
        <v>987</v>
      </c>
    </row>
    <row r="164" spans="2:12" x14ac:dyDescent="0.3">
      <c r="B164" s="253" t="s">
        <v>95</v>
      </c>
      <c r="C164" s="254">
        <v>2764</v>
      </c>
      <c r="D164" s="254">
        <v>3197</v>
      </c>
      <c r="E164" s="254">
        <v>3336</v>
      </c>
      <c r="F164" s="254">
        <v>3324</v>
      </c>
      <c r="G164" s="254">
        <v>3503</v>
      </c>
      <c r="H164" s="254">
        <v>3394</v>
      </c>
      <c r="I164" s="254">
        <v>3802</v>
      </c>
      <c r="J164" s="254">
        <v>3435</v>
      </c>
      <c r="K164" s="254">
        <v>3410</v>
      </c>
      <c r="L164" s="254">
        <v>3846</v>
      </c>
    </row>
    <row r="165" spans="2:12" x14ac:dyDescent="0.3">
      <c r="B165" s="253" t="s">
        <v>96</v>
      </c>
      <c r="C165" s="254">
        <v>48185</v>
      </c>
      <c r="D165" s="254">
        <v>43838</v>
      </c>
      <c r="E165" s="254">
        <v>46702</v>
      </c>
      <c r="F165" s="254">
        <v>47652</v>
      </c>
      <c r="G165" s="254">
        <v>42706</v>
      </c>
      <c r="H165" s="254">
        <v>38609</v>
      </c>
      <c r="I165" s="254">
        <v>37266</v>
      </c>
      <c r="J165" s="254">
        <v>29582</v>
      </c>
      <c r="K165" s="254">
        <v>32589</v>
      </c>
      <c r="L165" s="254">
        <v>31299</v>
      </c>
    </row>
    <row r="166" spans="2:12" x14ac:dyDescent="0.3">
      <c r="B166" s="253" t="s">
        <v>97</v>
      </c>
      <c r="C166" s="254">
        <v>255</v>
      </c>
      <c r="D166" s="254">
        <v>129</v>
      </c>
      <c r="E166" s="254">
        <v>99</v>
      </c>
      <c r="F166" s="254">
        <v>715</v>
      </c>
      <c r="G166" s="254">
        <v>675</v>
      </c>
      <c r="H166" s="254">
        <v>537</v>
      </c>
      <c r="I166" s="254">
        <v>0</v>
      </c>
      <c r="J166" s="254">
        <v>0</v>
      </c>
      <c r="K166" s="254">
        <v>0</v>
      </c>
      <c r="L166" s="254">
        <v>0</v>
      </c>
    </row>
    <row r="167" spans="2:12" x14ac:dyDescent="0.3">
      <c r="B167" s="253" t="s">
        <v>63</v>
      </c>
      <c r="C167" s="254">
        <v>0</v>
      </c>
      <c r="D167" s="254">
        <v>0</v>
      </c>
      <c r="E167" s="254">
        <v>0</v>
      </c>
      <c r="F167" s="254">
        <v>0</v>
      </c>
      <c r="G167" s="254">
        <v>0</v>
      </c>
      <c r="H167" s="254">
        <v>0</v>
      </c>
      <c r="I167" s="254">
        <v>0</v>
      </c>
      <c r="J167" s="254">
        <v>0</v>
      </c>
      <c r="K167" s="254">
        <v>0</v>
      </c>
      <c r="L167" s="254">
        <v>0</v>
      </c>
    </row>
    <row r="168" spans="2:12" ht="15" thickBot="1" x14ac:dyDescent="0.35">
      <c r="B168" s="32" t="s">
        <v>99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</row>
    <row r="169" spans="2:12" x14ac:dyDescent="0.3">
      <c r="B169" s="34" t="s">
        <v>100</v>
      </c>
      <c r="C169" s="33">
        <f t="shared" ref="C169:K169" si="71">SUM(C170:C178)</f>
        <v>63754</v>
      </c>
      <c r="D169" s="33">
        <f t="shared" si="71"/>
        <v>64796</v>
      </c>
      <c r="E169" s="33">
        <f t="shared" si="71"/>
        <v>61766</v>
      </c>
      <c r="F169" s="33">
        <f t="shared" si="71"/>
        <v>63018</v>
      </c>
      <c r="G169" s="33">
        <f t="shared" si="71"/>
        <v>63097</v>
      </c>
      <c r="H169" s="33">
        <f t="shared" si="71"/>
        <v>59425</v>
      </c>
      <c r="I169" s="33">
        <f t="shared" si="71"/>
        <v>55614</v>
      </c>
      <c r="J169" s="33">
        <f t="shared" si="71"/>
        <v>56147</v>
      </c>
      <c r="K169" s="33">
        <f t="shared" si="71"/>
        <v>58088</v>
      </c>
      <c r="L169" s="33">
        <f t="shared" ref="L169" si="72">SUM(L170:L178)</f>
        <v>60617</v>
      </c>
    </row>
    <row r="170" spans="2:12" x14ac:dyDescent="0.3">
      <c r="B170" s="253" t="s">
        <v>101</v>
      </c>
      <c r="C170" s="254">
        <v>15519</v>
      </c>
      <c r="D170" s="254">
        <v>16719</v>
      </c>
      <c r="E170" s="254">
        <v>17200</v>
      </c>
      <c r="F170" s="254">
        <v>17379</v>
      </c>
      <c r="G170" s="254">
        <v>17294</v>
      </c>
      <c r="H170" s="254">
        <v>16262</v>
      </c>
      <c r="I170" s="254">
        <v>13315</v>
      </c>
      <c r="J170" s="254">
        <v>13811</v>
      </c>
      <c r="K170" s="254">
        <v>15314</v>
      </c>
      <c r="L170" s="254">
        <v>18282</v>
      </c>
    </row>
    <row r="171" spans="2:12" x14ac:dyDescent="0.3">
      <c r="B171" s="253" t="s">
        <v>96</v>
      </c>
      <c r="C171" s="254">
        <v>8384</v>
      </c>
      <c r="D171" s="254">
        <v>8443</v>
      </c>
      <c r="E171" s="254">
        <v>8923</v>
      </c>
      <c r="F171" s="254">
        <v>8250</v>
      </c>
      <c r="G171" s="254">
        <v>8089</v>
      </c>
      <c r="H171" s="254">
        <v>6827</v>
      </c>
      <c r="I171" s="254">
        <v>5804</v>
      </c>
      <c r="J171" s="254">
        <v>5693</v>
      </c>
      <c r="K171" s="254">
        <v>5129</v>
      </c>
      <c r="L171" s="254">
        <v>4966</v>
      </c>
    </row>
    <row r="172" spans="2:12" x14ac:dyDescent="0.3">
      <c r="B172" s="253" t="s">
        <v>102</v>
      </c>
      <c r="C172" s="254">
        <v>440</v>
      </c>
      <c r="D172" s="254">
        <v>439</v>
      </c>
      <c r="E172" s="254">
        <v>449</v>
      </c>
      <c r="F172" s="254">
        <v>495</v>
      </c>
      <c r="G172" s="254">
        <v>488</v>
      </c>
      <c r="H172" s="254">
        <v>449</v>
      </c>
      <c r="I172" s="254">
        <v>383</v>
      </c>
      <c r="J172" s="254">
        <v>299</v>
      </c>
      <c r="K172" s="254">
        <v>284</v>
      </c>
      <c r="L172" s="254">
        <v>232</v>
      </c>
    </row>
    <row r="173" spans="2:12" x14ac:dyDescent="0.3">
      <c r="B173" s="253" t="s">
        <v>97</v>
      </c>
      <c r="C173" s="254">
        <v>1865</v>
      </c>
      <c r="D173" s="254">
        <v>1725</v>
      </c>
      <c r="E173" s="254">
        <v>1682</v>
      </c>
      <c r="F173" s="254">
        <v>1632</v>
      </c>
      <c r="G173" s="254">
        <v>1828</v>
      </c>
      <c r="H173" s="254">
        <v>1554</v>
      </c>
      <c r="I173" s="254">
        <v>1699</v>
      </c>
      <c r="J173" s="254">
        <v>1911</v>
      </c>
      <c r="K173" s="254">
        <v>1584</v>
      </c>
      <c r="L173" s="254">
        <v>1739</v>
      </c>
    </row>
    <row r="174" spans="2:12" x14ac:dyDescent="0.3">
      <c r="B174" s="253" t="s">
        <v>103</v>
      </c>
      <c r="C174" s="254">
        <v>0</v>
      </c>
      <c r="D174" s="254">
        <v>0</v>
      </c>
      <c r="E174" s="254">
        <v>0</v>
      </c>
      <c r="F174" s="254">
        <v>0</v>
      </c>
      <c r="G174" s="254">
        <v>0</v>
      </c>
      <c r="H174" s="254">
        <v>0</v>
      </c>
      <c r="I174" s="254">
        <v>0</v>
      </c>
      <c r="J174" s="254">
        <v>0</v>
      </c>
      <c r="K174" s="254">
        <v>0</v>
      </c>
      <c r="L174" s="254">
        <v>0</v>
      </c>
    </row>
    <row r="175" spans="2:12" x14ac:dyDescent="0.3">
      <c r="B175" s="253" t="s">
        <v>104</v>
      </c>
      <c r="C175" s="254">
        <v>23112</v>
      </c>
      <c r="D175" s="254">
        <v>22472</v>
      </c>
      <c r="E175" s="254">
        <v>19937</v>
      </c>
      <c r="F175" s="254">
        <v>20919</v>
      </c>
      <c r="G175" s="254">
        <v>21207</v>
      </c>
      <c r="H175" s="254">
        <v>20402</v>
      </c>
      <c r="I175" s="254">
        <v>20197</v>
      </c>
      <c r="J175" s="254">
        <v>20972</v>
      </c>
      <c r="K175" s="254">
        <v>21900</v>
      </c>
      <c r="L175" s="254">
        <v>21535</v>
      </c>
    </row>
    <row r="176" spans="2:12" x14ac:dyDescent="0.3">
      <c r="B176" s="253" t="s">
        <v>123</v>
      </c>
      <c r="C176" s="254">
        <v>12969</v>
      </c>
      <c r="D176" s="254">
        <v>13251</v>
      </c>
      <c r="E176" s="254">
        <v>12223</v>
      </c>
      <c r="F176" s="254">
        <v>12827</v>
      </c>
      <c r="G176" s="254">
        <v>12752</v>
      </c>
      <c r="H176" s="254">
        <v>12508</v>
      </c>
      <c r="I176" s="254">
        <v>12875</v>
      </c>
      <c r="J176" s="254">
        <v>12141</v>
      </c>
      <c r="K176" s="254">
        <v>12521</v>
      </c>
      <c r="L176" s="254">
        <v>12437</v>
      </c>
    </row>
    <row r="177" spans="2:12" x14ac:dyDescent="0.3">
      <c r="B177" s="253" t="s">
        <v>114</v>
      </c>
      <c r="C177" s="254">
        <v>1465</v>
      </c>
      <c r="D177" s="254">
        <v>1747</v>
      </c>
      <c r="E177" s="254">
        <v>1352</v>
      </c>
      <c r="F177" s="254">
        <v>1516</v>
      </c>
      <c r="G177" s="254">
        <v>1439</v>
      </c>
      <c r="H177" s="254">
        <v>1423</v>
      </c>
      <c r="I177" s="254">
        <v>1339</v>
      </c>
      <c r="J177" s="254">
        <v>1320</v>
      </c>
      <c r="K177" s="254">
        <v>1356</v>
      </c>
      <c r="L177" s="254">
        <v>1426</v>
      </c>
    </row>
    <row r="178" spans="2:12" ht="15" thickBot="1" x14ac:dyDescent="0.35">
      <c r="B178" s="32" t="s">
        <v>99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2</v>
      </c>
      <c r="J178" s="13">
        <v>0</v>
      </c>
      <c r="K178" s="13">
        <v>0</v>
      </c>
      <c r="L178" s="13">
        <v>0</v>
      </c>
    </row>
    <row r="179" spans="2:12" x14ac:dyDescent="0.3">
      <c r="B179" s="34" t="s">
        <v>106</v>
      </c>
      <c r="C179" s="33">
        <f t="shared" ref="C179:K179" si="73">SUM(C180:C181)</f>
        <v>513</v>
      </c>
      <c r="D179" s="33">
        <f t="shared" si="73"/>
        <v>682</v>
      </c>
      <c r="E179" s="33">
        <f t="shared" si="73"/>
        <v>805</v>
      </c>
      <c r="F179" s="33">
        <f t="shared" si="73"/>
        <v>986</v>
      </c>
      <c r="G179" s="33">
        <f t="shared" si="73"/>
        <v>1150</v>
      </c>
      <c r="H179" s="33">
        <f t="shared" si="73"/>
        <v>1072</v>
      </c>
      <c r="I179" s="33">
        <f t="shared" si="73"/>
        <v>725</v>
      </c>
      <c r="J179" s="33">
        <f t="shared" si="73"/>
        <v>667</v>
      </c>
      <c r="K179" s="33">
        <f t="shared" si="73"/>
        <v>827</v>
      </c>
      <c r="L179" s="33">
        <f t="shared" ref="L179" si="74">SUM(L180:L181)</f>
        <v>827</v>
      </c>
    </row>
    <row r="180" spans="2:12" x14ac:dyDescent="0.3">
      <c r="B180" s="253" t="s">
        <v>107</v>
      </c>
      <c r="C180" s="254">
        <v>285</v>
      </c>
      <c r="D180" s="254">
        <v>407</v>
      </c>
      <c r="E180" s="254">
        <v>553</v>
      </c>
      <c r="F180" s="254">
        <v>730</v>
      </c>
      <c r="G180" s="254">
        <v>874</v>
      </c>
      <c r="H180" s="254">
        <v>915</v>
      </c>
      <c r="I180" s="254">
        <v>615</v>
      </c>
      <c r="J180" s="254">
        <v>554</v>
      </c>
      <c r="K180" s="254">
        <v>694</v>
      </c>
      <c r="L180" s="254">
        <v>678</v>
      </c>
    </row>
    <row r="181" spans="2:12" ht="15" thickBot="1" x14ac:dyDescent="0.35">
      <c r="B181" s="32" t="s">
        <v>108</v>
      </c>
      <c r="C181" s="13">
        <v>228</v>
      </c>
      <c r="D181" s="13">
        <v>275</v>
      </c>
      <c r="E181" s="13">
        <v>252</v>
      </c>
      <c r="F181" s="13">
        <v>256</v>
      </c>
      <c r="G181" s="13">
        <v>276</v>
      </c>
      <c r="H181" s="13">
        <v>157</v>
      </c>
      <c r="I181" s="13">
        <v>110</v>
      </c>
      <c r="J181" s="13">
        <v>113</v>
      </c>
      <c r="K181" s="13">
        <v>133</v>
      </c>
      <c r="L181" s="13">
        <v>149</v>
      </c>
    </row>
    <row r="182" spans="2:12" x14ac:dyDescent="0.3">
      <c r="B182" s="34" t="s">
        <v>109</v>
      </c>
      <c r="C182" s="33">
        <f t="shared" ref="C182:K182" si="75">SUM(C183:C185)</f>
        <v>17355</v>
      </c>
      <c r="D182" s="33">
        <f t="shared" si="75"/>
        <v>15624</v>
      </c>
      <c r="E182" s="33">
        <f t="shared" si="75"/>
        <v>14849</v>
      </c>
      <c r="F182" s="33">
        <f t="shared" si="75"/>
        <v>14217</v>
      </c>
      <c r="G182" s="33">
        <f t="shared" si="75"/>
        <v>12464</v>
      </c>
      <c r="H182" s="33">
        <f t="shared" si="75"/>
        <v>11074</v>
      </c>
      <c r="I182" s="33">
        <f t="shared" si="75"/>
        <v>9891</v>
      </c>
      <c r="J182" s="33">
        <f t="shared" si="75"/>
        <v>9006</v>
      </c>
      <c r="K182" s="33">
        <f t="shared" si="75"/>
        <v>8553</v>
      </c>
      <c r="L182" s="33">
        <f t="shared" ref="L182" si="76">SUM(L183:L185)</f>
        <v>8456</v>
      </c>
    </row>
    <row r="183" spans="2:12" x14ac:dyDescent="0.3">
      <c r="B183" s="253" t="s">
        <v>110</v>
      </c>
      <c r="C183" s="254">
        <v>8092</v>
      </c>
      <c r="D183" s="254">
        <v>7907</v>
      </c>
      <c r="E183" s="254">
        <v>7953</v>
      </c>
      <c r="F183" s="254">
        <v>7731</v>
      </c>
      <c r="G183" s="254">
        <v>6737</v>
      </c>
      <c r="H183" s="254">
        <v>6159</v>
      </c>
      <c r="I183" s="254">
        <v>5709</v>
      </c>
      <c r="J183" s="254">
        <v>4770</v>
      </c>
      <c r="K183" s="254">
        <v>3947</v>
      </c>
      <c r="L183" s="254">
        <v>2916</v>
      </c>
    </row>
    <row r="184" spans="2:12" x14ac:dyDescent="0.3">
      <c r="B184" s="210" t="s">
        <v>124</v>
      </c>
      <c r="C184" s="211">
        <v>9263</v>
      </c>
      <c r="D184" s="211">
        <v>7717</v>
      </c>
      <c r="E184" s="211">
        <v>6896</v>
      </c>
      <c r="F184" s="211">
        <v>6486</v>
      </c>
      <c r="G184" s="211">
        <v>5727</v>
      </c>
      <c r="H184" s="211">
        <v>4915</v>
      </c>
      <c r="I184" s="211">
        <v>4182</v>
      </c>
      <c r="J184" s="211">
        <v>4236</v>
      </c>
      <c r="K184" s="211">
        <v>4604</v>
      </c>
      <c r="L184" s="211">
        <v>5540</v>
      </c>
    </row>
    <row r="185" spans="2:12" ht="15" thickBot="1" x14ac:dyDescent="0.35">
      <c r="B185" s="32" t="s">
        <v>111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2</v>
      </c>
      <c r="L185" s="13">
        <v>0</v>
      </c>
    </row>
    <row r="186" spans="2:12" ht="15" thickBot="1" x14ac:dyDescent="0.35">
      <c r="B186" s="31" t="s">
        <v>127</v>
      </c>
      <c r="C186" s="30">
        <f t="shared" ref="C186:L186" si="77">C160+C169+C179+C182</f>
        <v>197886</v>
      </c>
      <c r="D186" s="30">
        <f t="shared" si="77"/>
        <v>185542</v>
      </c>
      <c r="E186" s="30">
        <f t="shared" si="77"/>
        <v>186517</v>
      </c>
      <c r="F186" s="30">
        <f t="shared" si="77"/>
        <v>189213</v>
      </c>
      <c r="G186" s="30">
        <f t="shared" si="77"/>
        <v>177622</v>
      </c>
      <c r="H186" s="30">
        <f t="shared" si="77"/>
        <v>163872</v>
      </c>
      <c r="I186" s="30">
        <f t="shared" si="77"/>
        <v>151534</v>
      </c>
      <c r="J186" s="30">
        <f t="shared" si="77"/>
        <v>137454</v>
      </c>
      <c r="K186" s="30">
        <f t="shared" si="77"/>
        <v>143177</v>
      </c>
      <c r="L186" s="30">
        <f t="shared" si="77"/>
        <v>149375</v>
      </c>
    </row>
    <row r="189" spans="2:12" x14ac:dyDescent="0.3">
      <c r="B189" s="34" t="s">
        <v>128</v>
      </c>
    </row>
    <row r="190" spans="2:12" x14ac:dyDescent="0.3">
      <c r="C190" s="37"/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2:12" ht="15" thickBot="1" x14ac:dyDescent="0.35">
      <c r="B191" s="36"/>
      <c r="C191" s="35">
        <f>C159</f>
        <v>2010</v>
      </c>
      <c r="D191" s="35">
        <f t="shared" ref="D191:K191" si="78">D159</f>
        <v>2011</v>
      </c>
      <c r="E191" s="35">
        <f t="shared" si="78"/>
        <v>2012</v>
      </c>
      <c r="F191" s="35">
        <f t="shared" si="78"/>
        <v>2013</v>
      </c>
      <c r="G191" s="35">
        <f t="shared" si="78"/>
        <v>2014</v>
      </c>
      <c r="H191" s="35">
        <f t="shared" si="78"/>
        <v>2015</v>
      </c>
      <c r="I191" s="35">
        <f t="shared" si="78"/>
        <v>2016</v>
      </c>
      <c r="J191" s="35">
        <f t="shared" si="78"/>
        <v>2017</v>
      </c>
      <c r="K191" s="35">
        <f t="shared" si="78"/>
        <v>2018</v>
      </c>
      <c r="L191" s="35">
        <v>2019</v>
      </c>
    </row>
    <row r="192" spans="2:12" x14ac:dyDescent="0.3">
      <c r="B192" s="34" t="s">
        <v>91</v>
      </c>
      <c r="C192" s="33">
        <f t="shared" ref="C192:K192" si="79">SUM(C193:C200)</f>
        <v>71310</v>
      </c>
      <c r="D192" s="33">
        <f t="shared" si="79"/>
        <v>83055</v>
      </c>
      <c r="E192" s="33">
        <f t="shared" si="79"/>
        <v>92354</v>
      </c>
      <c r="F192" s="33">
        <f t="shared" si="79"/>
        <v>107547</v>
      </c>
      <c r="G192" s="33">
        <f t="shared" si="79"/>
        <v>109338</v>
      </c>
      <c r="H192" s="33">
        <f t="shared" si="79"/>
        <v>110638</v>
      </c>
      <c r="I192" s="33">
        <f t="shared" si="79"/>
        <v>104814</v>
      </c>
      <c r="J192" s="33">
        <f t="shared" si="79"/>
        <v>102084</v>
      </c>
      <c r="K192" s="33">
        <f t="shared" si="79"/>
        <v>108774</v>
      </c>
      <c r="L192" s="33">
        <f t="shared" ref="L192" si="80">SUM(L193:L200)</f>
        <v>107843</v>
      </c>
    </row>
    <row r="193" spans="2:12" x14ac:dyDescent="0.3">
      <c r="B193" s="253" t="s">
        <v>92</v>
      </c>
      <c r="C193" s="254">
        <v>41086</v>
      </c>
      <c r="D193" s="254">
        <v>50117</v>
      </c>
      <c r="E193" s="254">
        <v>56247</v>
      </c>
      <c r="F193" s="254">
        <v>59734</v>
      </c>
      <c r="G193" s="254">
        <v>61983</v>
      </c>
      <c r="H193" s="254">
        <v>62305</v>
      </c>
      <c r="I193" s="254">
        <v>56152</v>
      </c>
      <c r="J193" s="254">
        <v>56856</v>
      </c>
      <c r="K193" s="254">
        <v>61950</v>
      </c>
      <c r="L193" s="254">
        <v>62122</v>
      </c>
    </row>
    <row r="194" spans="2:12" x14ac:dyDescent="0.3">
      <c r="B194" s="253" t="s">
        <v>93</v>
      </c>
      <c r="C194" s="254">
        <v>676</v>
      </c>
      <c r="D194" s="254">
        <v>1080</v>
      </c>
      <c r="E194" s="254">
        <v>1162</v>
      </c>
      <c r="F194" s="254">
        <v>1157</v>
      </c>
      <c r="G194" s="254">
        <v>1330</v>
      </c>
      <c r="H194" s="254">
        <v>1443</v>
      </c>
      <c r="I194" s="254">
        <v>1290</v>
      </c>
      <c r="J194" s="254">
        <v>1261</v>
      </c>
      <c r="K194" s="254">
        <v>1316</v>
      </c>
      <c r="L194" s="254">
        <v>1289</v>
      </c>
    </row>
    <row r="195" spans="2:12" x14ac:dyDescent="0.3">
      <c r="B195" s="253" t="s">
        <v>94</v>
      </c>
      <c r="C195" s="254">
        <v>331</v>
      </c>
      <c r="D195" s="254">
        <v>446</v>
      </c>
      <c r="E195" s="254">
        <v>553</v>
      </c>
      <c r="F195" s="254">
        <v>615</v>
      </c>
      <c r="G195" s="254">
        <v>564</v>
      </c>
      <c r="H195" s="254">
        <v>703</v>
      </c>
      <c r="I195" s="254">
        <v>665</v>
      </c>
      <c r="J195" s="254">
        <v>822</v>
      </c>
      <c r="K195" s="254">
        <v>820</v>
      </c>
      <c r="L195" s="254">
        <v>895</v>
      </c>
    </row>
    <row r="196" spans="2:12" x14ac:dyDescent="0.3">
      <c r="B196" s="253" t="s">
        <v>95</v>
      </c>
      <c r="C196" s="254">
        <v>2107</v>
      </c>
      <c r="D196" s="254">
        <v>2317</v>
      </c>
      <c r="E196" s="254">
        <v>2590</v>
      </c>
      <c r="F196" s="254">
        <v>2898</v>
      </c>
      <c r="G196" s="254">
        <v>2764</v>
      </c>
      <c r="H196" s="254">
        <v>3274</v>
      </c>
      <c r="I196" s="254">
        <v>3147</v>
      </c>
      <c r="J196" s="254">
        <v>3621</v>
      </c>
      <c r="K196" s="254">
        <v>3728</v>
      </c>
      <c r="L196" s="254">
        <v>3644</v>
      </c>
    </row>
    <row r="197" spans="2:12" x14ac:dyDescent="0.3">
      <c r="B197" s="253" t="s">
        <v>96</v>
      </c>
      <c r="C197" s="254">
        <v>26902</v>
      </c>
      <c r="D197" s="254">
        <v>28885</v>
      </c>
      <c r="E197" s="254">
        <v>31679</v>
      </c>
      <c r="F197" s="254">
        <v>42655</v>
      </c>
      <c r="G197" s="254">
        <v>42109</v>
      </c>
      <c r="H197" s="254">
        <v>42365</v>
      </c>
      <c r="I197" s="254">
        <v>43560</v>
      </c>
      <c r="J197" s="254">
        <v>39524</v>
      </c>
      <c r="K197" s="254">
        <v>40960</v>
      </c>
      <c r="L197" s="254">
        <v>39893</v>
      </c>
    </row>
    <row r="198" spans="2:12" x14ac:dyDescent="0.3">
      <c r="B198" s="253" t="s">
        <v>97</v>
      </c>
      <c r="C198" s="254">
        <v>208</v>
      </c>
      <c r="D198" s="254">
        <v>210</v>
      </c>
      <c r="E198" s="254">
        <v>123</v>
      </c>
      <c r="F198" s="254">
        <v>488</v>
      </c>
      <c r="G198" s="254">
        <v>588</v>
      </c>
      <c r="H198" s="254">
        <v>548</v>
      </c>
      <c r="I198" s="254">
        <v>0</v>
      </c>
      <c r="J198" s="254">
        <v>0</v>
      </c>
      <c r="K198" s="254">
        <v>0</v>
      </c>
      <c r="L198" s="254">
        <v>0</v>
      </c>
    </row>
    <row r="199" spans="2:12" x14ac:dyDescent="0.3">
      <c r="B199" s="253" t="s">
        <v>117</v>
      </c>
      <c r="C199" s="254">
        <v>0</v>
      </c>
      <c r="D199" s="254">
        <v>0</v>
      </c>
      <c r="E199" s="254">
        <v>0</v>
      </c>
      <c r="F199" s="254">
        <v>0</v>
      </c>
      <c r="G199" s="254">
        <v>0</v>
      </c>
      <c r="H199" s="254">
        <v>0</v>
      </c>
      <c r="I199" s="254">
        <v>0</v>
      </c>
      <c r="J199" s="254">
        <v>0</v>
      </c>
      <c r="K199" s="254">
        <v>0</v>
      </c>
      <c r="L199" s="254">
        <v>0</v>
      </c>
    </row>
    <row r="200" spans="2:12" ht="15" thickBot="1" x14ac:dyDescent="0.35">
      <c r="B200" s="32" t="s">
        <v>99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</row>
    <row r="201" spans="2:12" x14ac:dyDescent="0.3">
      <c r="B201" s="34" t="s">
        <v>100</v>
      </c>
      <c r="C201" s="33">
        <f t="shared" ref="C201:K201" si="81">SUM(C202:C210)</f>
        <v>81088</v>
      </c>
      <c r="D201" s="33">
        <f t="shared" si="81"/>
        <v>91987</v>
      </c>
      <c r="E201" s="33">
        <f t="shared" si="81"/>
        <v>97086</v>
      </c>
      <c r="F201" s="33">
        <f t="shared" si="81"/>
        <v>95595</v>
      </c>
      <c r="G201" s="33">
        <f t="shared" si="81"/>
        <v>94109</v>
      </c>
      <c r="H201" s="33">
        <f t="shared" si="81"/>
        <v>89988</v>
      </c>
      <c r="I201" s="33">
        <f t="shared" si="81"/>
        <v>81869</v>
      </c>
      <c r="J201" s="33">
        <f t="shared" si="81"/>
        <v>79256</v>
      </c>
      <c r="K201" s="33">
        <f t="shared" si="81"/>
        <v>85199</v>
      </c>
      <c r="L201" s="33">
        <f t="shared" ref="L201" si="82">SUM(L202:L210)</f>
        <v>83426</v>
      </c>
    </row>
    <row r="202" spans="2:12" x14ac:dyDescent="0.3">
      <c r="B202" s="253" t="s">
        <v>101</v>
      </c>
      <c r="C202" s="254">
        <v>15612</v>
      </c>
      <c r="D202" s="254">
        <v>17554</v>
      </c>
      <c r="E202" s="254">
        <v>17823</v>
      </c>
      <c r="F202" s="254">
        <v>19099</v>
      </c>
      <c r="G202" s="254">
        <v>18483</v>
      </c>
      <c r="H202" s="254">
        <v>18221</v>
      </c>
      <c r="I202" s="254">
        <v>14978</v>
      </c>
      <c r="J202" s="254">
        <v>14379</v>
      </c>
      <c r="K202" s="254">
        <v>15874</v>
      </c>
      <c r="L202" s="254">
        <v>17514</v>
      </c>
    </row>
    <row r="203" spans="2:12" x14ac:dyDescent="0.3">
      <c r="B203" s="253" t="s">
        <v>96</v>
      </c>
      <c r="C203" s="254">
        <v>7983</v>
      </c>
      <c r="D203" s="254">
        <v>8201</v>
      </c>
      <c r="E203" s="254">
        <v>8626</v>
      </c>
      <c r="F203" s="254">
        <v>9233</v>
      </c>
      <c r="G203" s="254">
        <v>8539</v>
      </c>
      <c r="H203" s="254">
        <v>7764</v>
      </c>
      <c r="I203" s="254">
        <v>6795</v>
      </c>
      <c r="J203" s="254">
        <v>5710</v>
      </c>
      <c r="K203" s="254">
        <v>5526</v>
      </c>
      <c r="L203" s="254">
        <v>4714</v>
      </c>
    </row>
    <row r="204" spans="2:12" x14ac:dyDescent="0.3">
      <c r="B204" s="253" t="s">
        <v>102</v>
      </c>
      <c r="C204" s="254">
        <v>375</v>
      </c>
      <c r="D204" s="254">
        <v>462</v>
      </c>
      <c r="E204" s="254">
        <v>467</v>
      </c>
      <c r="F204" s="254">
        <v>539</v>
      </c>
      <c r="G204" s="254">
        <v>497</v>
      </c>
      <c r="H204" s="254">
        <v>526</v>
      </c>
      <c r="I204" s="254">
        <v>387</v>
      </c>
      <c r="J204" s="254">
        <v>313</v>
      </c>
      <c r="K204" s="254">
        <v>327</v>
      </c>
      <c r="L204" s="254">
        <v>201</v>
      </c>
    </row>
    <row r="205" spans="2:12" x14ac:dyDescent="0.3">
      <c r="B205" s="253" t="s">
        <v>97</v>
      </c>
      <c r="C205" s="254">
        <v>1933</v>
      </c>
      <c r="D205" s="254">
        <v>1954</v>
      </c>
      <c r="E205" s="254">
        <v>1886</v>
      </c>
      <c r="F205" s="254">
        <v>1692</v>
      </c>
      <c r="G205" s="254">
        <v>1583</v>
      </c>
      <c r="H205" s="254">
        <v>1761</v>
      </c>
      <c r="I205" s="254">
        <v>1456</v>
      </c>
      <c r="J205" s="254">
        <v>1632</v>
      </c>
      <c r="K205" s="254">
        <v>1889</v>
      </c>
      <c r="L205" s="254">
        <v>1640</v>
      </c>
    </row>
    <row r="206" spans="2:12" x14ac:dyDescent="0.3">
      <c r="B206" s="253" t="s">
        <v>103</v>
      </c>
      <c r="C206" s="254">
        <v>0</v>
      </c>
      <c r="D206" s="254">
        <v>0</v>
      </c>
      <c r="E206" s="254">
        <v>0</v>
      </c>
      <c r="F206" s="254">
        <v>0</v>
      </c>
      <c r="G206" s="254">
        <v>0</v>
      </c>
      <c r="H206" s="254">
        <v>0</v>
      </c>
      <c r="I206" s="254">
        <v>0</v>
      </c>
      <c r="J206" s="254">
        <v>0</v>
      </c>
      <c r="K206" s="254">
        <v>0</v>
      </c>
      <c r="L206" s="254">
        <v>0</v>
      </c>
    </row>
    <row r="207" spans="2:12" x14ac:dyDescent="0.3">
      <c r="B207" s="253" t="s">
        <v>104</v>
      </c>
      <c r="C207" s="254">
        <v>28435</v>
      </c>
      <c r="D207" s="254">
        <v>33791</v>
      </c>
      <c r="E207" s="254">
        <v>36793</v>
      </c>
      <c r="F207" s="254">
        <v>35392</v>
      </c>
      <c r="G207" s="254">
        <v>34644</v>
      </c>
      <c r="H207" s="254">
        <v>31807</v>
      </c>
      <c r="I207" s="254">
        <v>31337</v>
      </c>
      <c r="J207" s="254">
        <v>31915</v>
      </c>
      <c r="K207" s="254">
        <v>35028</v>
      </c>
      <c r="L207" s="254">
        <v>33184</v>
      </c>
    </row>
    <row r="208" spans="2:12" x14ac:dyDescent="0.3">
      <c r="B208" s="253" t="s">
        <v>123</v>
      </c>
      <c r="C208" s="254">
        <v>24196</v>
      </c>
      <c r="D208" s="254">
        <v>26460</v>
      </c>
      <c r="E208" s="254">
        <v>27733</v>
      </c>
      <c r="F208" s="254">
        <v>25713</v>
      </c>
      <c r="G208" s="254">
        <v>26269</v>
      </c>
      <c r="H208" s="254">
        <v>25695</v>
      </c>
      <c r="I208" s="254">
        <v>23520</v>
      </c>
      <c r="J208" s="254">
        <v>22413</v>
      </c>
      <c r="K208" s="254">
        <v>22996</v>
      </c>
      <c r="L208" s="254">
        <v>22628</v>
      </c>
    </row>
    <row r="209" spans="2:12" x14ac:dyDescent="0.3">
      <c r="B209" s="253" t="s">
        <v>114</v>
      </c>
      <c r="C209" s="254">
        <v>2554</v>
      </c>
      <c r="D209" s="254">
        <v>3565</v>
      </c>
      <c r="E209" s="254">
        <v>3757</v>
      </c>
      <c r="F209" s="254">
        <v>3927</v>
      </c>
      <c r="G209" s="254">
        <v>4094</v>
      </c>
      <c r="H209" s="254">
        <v>4214</v>
      </c>
      <c r="I209" s="254">
        <v>3396</v>
      </c>
      <c r="J209" s="254">
        <v>2893</v>
      </c>
      <c r="K209" s="254">
        <v>3558</v>
      </c>
      <c r="L209" s="254">
        <v>3545</v>
      </c>
    </row>
    <row r="210" spans="2:12" ht="15" thickBot="1" x14ac:dyDescent="0.35">
      <c r="B210" s="32" t="s">
        <v>99</v>
      </c>
      <c r="C210" s="13">
        <v>0</v>
      </c>
      <c r="D210" s="13">
        <v>0</v>
      </c>
      <c r="E210" s="13">
        <v>1</v>
      </c>
      <c r="F210" s="13">
        <v>0</v>
      </c>
      <c r="G210" s="13">
        <v>0</v>
      </c>
      <c r="H210" s="13">
        <v>0</v>
      </c>
      <c r="I210" s="13">
        <v>0</v>
      </c>
      <c r="J210" s="13">
        <v>1</v>
      </c>
      <c r="K210" s="13">
        <v>1</v>
      </c>
      <c r="L210" s="13">
        <v>0</v>
      </c>
    </row>
    <row r="211" spans="2:12" x14ac:dyDescent="0.3">
      <c r="B211" s="34" t="s">
        <v>106</v>
      </c>
      <c r="C211" s="33">
        <f t="shared" ref="C211:K211" si="83">SUM(C212:C213)</f>
        <v>484</v>
      </c>
      <c r="D211" s="33">
        <f t="shared" si="83"/>
        <v>603</v>
      </c>
      <c r="E211" s="33">
        <f t="shared" si="83"/>
        <v>749</v>
      </c>
      <c r="F211" s="33">
        <f t="shared" si="83"/>
        <v>943</v>
      </c>
      <c r="G211" s="33">
        <f t="shared" si="83"/>
        <v>1155</v>
      </c>
      <c r="H211" s="33">
        <f t="shared" si="83"/>
        <v>1185</v>
      </c>
      <c r="I211" s="33">
        <f t="shared" si="83"/>
        <v>748</v>
      </c>
      <c r="J211" s="33">
        <f t="shared" si="83"/>
        <v>710</v>
      </c>
      <c r="K211" s="33">
        <f t="shared" si="83"/>
        <v>731</v>
      </c>
      <c r="L211" s="33">
        <f t="shared" ref="L211" si="84">SUM(L212:L213)</f>
        <v>765</v>
      </c>
    </row>
    <row r="212" spans="2:12" x14ac:dyDescent="0.3">
      <c r="B212" s="253" t="s">
        <v>107</v>
      </c>
      <c r="C212" s="254">
        <v>286</v>
      </c>
      <c r="D212" s="254">
        <v>359</v>
      </c>
      <c r="E212" s="254">
        <v>497</v>
      </c>
      <c r="F212" s="254">
        <v>716</v>
      </c>
      <c r="G212" s="254">
        <v>864</v>
      </c>
      <c r="H212" s="254">
        <v>912</v>
      </c>
      <c r="I212" s="254">
        <v>599</v>
      </c>
      <c r="J212" s="254">
        <v>596</v>
      </c>
      <c r="K212" s="254">
        <v>626</v>
      </c>
      <c r="L212" s="254">
        <v>607</v>
      </c>
    </row>
    <row r="213" spans="2:12" ht="15" thickBot="1" x14ac:dyDescent="0.35">
      <c r="B213" s="32" t="s">
        <v>108</v>
      </c>
      <c r="C213" s="13">
        <v>198</v>
      </c>
      <c r="D213" s="13">
        <v>244</v>
      </c>
      <c r="E213" s="13">
        <v>252</v>
      </c>
      <c r="F213" s="13">
        <v>227</v>
      </c>
      <c r="G213" s="13">
        <v>291</v>
      </c>
      <c r="H213" s="13">
        <v>273</v>
      </c>
      <c r="I213" s="13">
        <v>149</v>
      </c>
      <c r="J213" s="13">
        <v>114</v>
      </c>
      <c r="K213" s="13">
        <v>105</v>
      </c>
      <c r="L213" s="13">
        <v>158</v>
      </c>
    </row>
    <row r="214" spans="2:12" x14ac:dyDescent="0.3">
      <c r="B214" s="34" t="s">
        <v>109</v>
      </c>
      <c r="C214" s="33">
        <f t="shared" ref="C214:K214" si="85">SUM(C215:C217)</f>
        <v>16174</v>
      </c>
      <c r="D214" s="33">
        <f t="shared" si="85"/>
        <v>15725</v>
      </c>
      <c r="E214" s="33">
        <f t="shared" si="85"/>
        <v>18022</v>
      </c>
      <c r="F214" s="33">
        <f t="shared" si="85"/>
        <v>18642</v>
      </c>
      <c r="G214" s="33">
        <f t="shared" si="85"/>
        <v>16715</v>
      </c>
      <c r="H214" s="33">
        <f t="shared" si="85"/>
        <v>18275</v>
      </c>
      <c r="I214" s="33">
        <f t="shared" si="85"/>
        <v>13863</v>
      </c>
      <c r="J214" s="33">
        <f t="shared" si="85"/>
        <v>13103</v>
      </c>
      <c r="K214" s="33">
        <f t="shared" si="85"/>
        <v>11363</v>
      </c>
      <c r="L214" s="33">
        <f t="shared" ref="L214" si="86">SUM(L215:L217)</f>
        <v>11360</v>
      </c>
    </row>
    <row r="215" spans="2:12" x14ac:dyDescent="0.3">
      <c r="B215" s="253" t="s">
        <v>110</v>
      </c>
      <c r="C215" s="254">
        <v>7310</v>
      </c>
      <c r="D215" s="254">
        <v>7125</v>
      </c>
      <c r="E215" s="254">
        <v>7783</v>
      </c>
      <c r="F215" s="254">
        <v>9363</v>
      </c>
      <c r="G215" s="254">
        <v>7144</v>
      </c>
      <c r="H215" s="254">
        <v>6659</v>
      </c>
      <c r="I215" s="254">
        <v>6048</v>
      </c>
      <c r="J215" s="254">
        <v>5986</v>
      </c>
      <c r="K215" s="254">
        <v>4986</v>
      </c>
      <c r="L215" s="254">
        <v>3748</v>
      </c>
    </row>
    <row r="216" spans="2:12" x14ac:dyDescent="0.3">
      <c r="B216" s="210" t="s">
        <v>124</v>
      </c>
      <c r="C216" s="211">
        <v>8864</v>
      </c>
      <c r="D216" s="211">
        <v>8600</v>
      </c>
      <c r="E216" s="211">
        <v>10239</v>
      </c>
      <c r="F216" s="211">
        <v>9279</v>
      </c>
      <c r="G216" s="211">
        <v>9571</v>
      </c>
      <c r="H216" s="211">
        <v>11616</v>
      </c>
      <c r="I216" s="211">
        <v>7815</v>
      </c>
      <c r="J216" s="211">
        <v>7117</v>
      </c>
      <c r="K216" s="211">
        <v>6377</v>
      </c>
      <c r="L216" s="211">
        <v>7611</v>
      </c>
    </row>
    <row r="217" spans="2:12" ht="15" thickBot="1" x14ac:dyDescent="0.35">
      <c r="B217" s="32" t="s">
        <v>111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1</v>
      </c>
    </row>
    <row r="218" spans="2:12" ht="15" thickBot="1" x14ac:dyDescent="0.35">
      <c r="B218" s="31" t="s">
        <v>129</v>
      </c>
      <c r="C218" s="30">
        <f t="shared" ref="C218:L218" si="87">C192+C201+C211+C214</f>
        <v>169056</v>
      </c>
      <c r="D218" s="30">
        <f t="shared" si="87"/>
        <v>191370</v>
      </c>
      <c r="E218" s="30">
        <f t="shared" si="87"/>
        <v>208211</v>
      </c>
      <c r="F218" s="30">
        <f t="shared" si="87"/>
        <v>222727</v>
      </c>
      <c r="G218" s="30">
        <f t="shared" si="87"/>
        <v>221317</v>
      </c>
      <c r="H218" s="30">
        <f t="shared" si="87"/>
        <v>220086</v>
      </c>
      <c r="I218" s="30">
        <f t="shared" si="87"/>
        <v>201294</v>
      </c>
      <c r="J218" s="30">
        <f t="shared" si="87"/>
        <v>195153</v>
      </c>
      <c r="K218" s="30">
        <f t="shared" si="87"/>
        <v>206067</v>
      </c>
      <c r="L218" s="30">
        <f t="shared" si="87"/>
        <v>203394</v>
      </c>
    </row>
    <row r="221" spans="2:12" x14ac:dyDescent="0.3">
      <c r="B221" s="34" t="s">
        <v>130</v>
      </c>
    </row>
    <row r="222" spans="2:12" x14ac:dyDescent="0.3">
      <c r="C222" s="37"/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2:12" ht="15" thickBot="1" x14ac:dyDescent="0.35">
      <c r="B223" s="36"/>
      <c r="C223" s="35">
        <f>C191</f>
        <v>2010</v>
      </c>
      <c r="D223" s="35">
        <f t="shared" ref="D223:K223" si="88">D191</f>
        <v>2011</v>
      </c>
      <c r="E223" s="35">
        <f t="shared" si="88"/>
        <v>2012</v>
      </c>
      <c r="F223" s="35">
        <f t="shared" si="88"/>
        <v>2013</v>
      </c>
      <c r="G223" s="35">
        <f t="shared" si="88"/>
        <v>2014</v>
      </c>
      <c r="H223" s="35">
        <f t="shared" si="88"/>
        <v>2015</v>
      </c>
      <c r="I223" s="35">
        <f t="shared" si="88"/>
        <v>2016</v>
      </c>
      <c r="J223" s="35">
        <f t="shared" si="88"/>
        <v>2017</v>
      </c>
      <c r="K223" s="35">
        <f t="shared" si="88"/>
        <v>2018</v>
      </c>
      <c r="L223" s="35">
        <v>2019</v>
      </c>
    </row>
    <row r="224" spans="2:12" x14ac:dyDescent="0.3">
      <c r="B224" s="34" t="s">
        <v>91</v>
      </c>
      <c r="C224" s="33">
        <f t="shared" ref="C224:K224" si="89">SUM(C225:C232)</f>
        <v>307731</v>
      </c>
      <c r="D224" s="33">
        <f t="shared" si="89"/>
        <v>325550</v>
      </c>
      <c r="E224" s="33">
        <f t="shared" si="89"/>
        <v>343628</v>
      </c>
      <c r="F224" s="33">
        <f t="shared" si="89"/>
        <v>352811</v>
      </c>
      <c r="G224" s="33">
        <f t="shared" si="89"/>
        <v>361356</v>
      </c>
      <c r="H224" s="33">
        <f t="shared" si="89"/>
        <v>368809</v>
      </c>
      <c r="I224" s="33">
        <f t="shared" si="89"/>
        <v>368993</v>
      </c>
      <c r="J224" s="33">
        <f t="shared" si="89"/>
        <v>363399</v>
      </c>
      <c r="K224" s="33">
        <f t="shared" si="89"/>
        <v>359852</v>
      </c>
      <c r="L224" s="33">
        <f t="shared" ref="L224" si="90">SUM(L225:L232)</f>
        <v>359604</v>
      </c>
    </row>
    <row r="225" spans="2:12" x14ac:dyDescent="0.3">
      <c r="B225" s="253" t="s">
        <v>92</v>
      </c>
      <c r="C225" s="254">
        <v>168830</v>
      </c>
      <c r="D225" s="254">
        <v>171936</v>
      </c>
      <c r="E225" s="254">
        <v>174222</v>
      </c>
      <c r="F225" s="254">
        <v>177482</v>
      </c>
      <c r="G225" s="254">
        <v>178180</v>
      </c>
      <c r="H225" s="254">
        <v>178363</v>
      </c>
      <c r="I225" s="254">
        <v>175545</v>
      </c>
      <c r="J225" s="254">
        <v>171565</v>
      </c>
      <c r="K225" s="254">
        <v>166151</v>
      </c>
      <c r="L225" s="254">
        <v>165052</v>
      </c>
    </row>
    <row r="226" spans="2:12" x14ac:dyDescent="0.3">
      <c r="B226" s="253" t="s">
        <v>93</v>
      </c>
      <c r="C226" s="254">
        <v>3384</v>
      </c>
      <c r="D226" s="254">
        <v>3759</v>
      </c>
      <c r="E226" s="254">
        <v>4120</v>
      </c>
      <c r="F226" s="254">
        <v>4822</v>
      </c>
      <c r="G226" s="254">
        <v>5422</v>
      </c>
      <c r="H226" s="254">
        <v>5689</v>
      </c>
      <c r="I226" s="254">
        <v>5884</v>
      </c>
      <c r="J226" s="254">
        <v>5973</v>
      </c>
      <c r="K226" s="254">
        <v>5860</v>
      </c>
      <c r="L226" s="254">
        <v>6281</v>
      </c>
    </row>
    <row r="227" spans="2:12" x14ac:dyDescent="0.3">
      <c r="B227" s="253" t="s">
        <v>94</v>
      </c>
      <c r="C227" s="254">
        <v>1127</v>
      </c>
      <c r="D227" s="254">
        <v>1340</v>
      </c>
      <c r="E227" s="254">
        <v>1534</v>
      </c>
      <c r="F227" s="254">
        <v>1764</v>
      </c>
      <c r="G227" s="254">
        <v>2061</v>
      </c>
      <c r="H227" s="254">
        <v>2357</v>
      </c>
      <c r="I227" s="254">
        <v>2533</v>
      </c>
      <c r="J227" s="254">
        <v>2655</v>
      </c>
      <c r="K227" s="254">
        <v>2871</v>
      </c>
      <c r="L227" s="254">
        <v>3040</v>
      </c>
    </row>
    <row r="228" spans="2:12" x14ac:dyDescent="0.3">
      <c r="B228" s="253" t="s">
        <v>95</v>
      </c>
      <c r="C228" s="254">
        <v>5715</v>
      </c>
      <c r="D228" s="254">
        <v>6732</v>
      </c>
      <c r="E228" s="254">
        <v>7551</v>
      </c>
      <c r="F228" s="254">
        <v>8207</v>
      </c>
      <c r="G228" s="254">
        <v>9243</v>
      </c>
      <c r="H228" s="254">
        <v>9704</v>
      </c>
      <c r="I228" s="254">
        <v>10555</v>
      </c>
      <c r="J228" s="254">
        <v>10650</v>
      </c>
      <c r="K228" s="254">
        <v>11022</v>
      </c>
      <c r="L228" s="254">
        <v>11525</v>
      </c>
    </row>
    <row r="229" spans="2:12" x14ac:dyDescent="0.3">
      <c r="B229" s="253" t="s">
        <v>96</v>
      </c>
      <c r="C229" s="254">
        <v>128299</v>
      </c>
      <c r="D229" s="254">
        <v>141466</v>
      </c>
      <c r="E229" s="254">
        <v>155907</v>
      </c>
      <c r="F229" s="254">
        <v>159669</v>
      </c>
      <c r="G229" s="254">
        <v>165188</v>
      </c>
      <c r="H229" s="254">
        <v>171314</v>
      </c>
      <c r="I229" s="254">
        <v>174476</v>
      </c>
      <c r="J229" s="254">
        <v>172556</v>
      </c>
      <c r="K229" s="254">
        <v>173948</v>
      </c>
      <c r="L229" s="254">
        <v>173706</v>
      </c>
    </row>
    <row r="230" spans="2:12" x14ac:dyDescent="0.3">
      <c r="B230" s="253" t="s">
        <v>97</v>
      </c>
      <c r="C230" s="254">
        <v>376</v>
      </c>
      <c r="D230" s="254">
        <v>317</v>
      </c>
      <c r="E230" s="254">
        <v>294</v>
      </c>
      <c r="F230" s="254">
        <v>867</v>
      </c>
      <c r="G230" s="254">
        <v>1262</v>
      </c>
      <c r="H230" s="254">
        <v>1382</v>
      </c>
      <c r="I230" s="254">
        <v>0</v>
      </c>
      <c r="J230" s="254">
        <v>0</v>
      </c>
      <c r="K230" s="254">
        <v>0</v>
      </c>
      <c r="L230" s="254">
        <v>0</v>
      </c>
    </row>
    <row r="231" spans="2:12" x14ac:dyDescent="0.3">
      <c r="B231" s="253" t="s">
        <v>63</v>
      </c>
      <c r="C231" s="254">
        <v>0</v>
      </c>
      <c r="D231" s="254">
        <v>0</v>
      </c>
      <c r="E231" s="254">
        <v>0</v>
      </c>
      <c r="F231" s="254">
        <v>0</v>
      </c>
      <c r="G231" s="254">
        <v>0</v>
      </c>
      <c r="H231" s="254">
        <v>0</v>
      </c>
      <c r="I231" s="254">
        <v>0</v>
      </c>
      <c r="J231" s="254">
        <v>0</v>
      </c>
      <c r="K231" s="254">
        <v>0</v>
      </c>
      <c r="L231" s="254">
        <v>0</v>
      </c>
    </row>
    <row r="232" spans="2:12" ht="15" thickBot="1" x14ac:dyDescent="0.35">
      <c r="B232" s="32" t="s">
        <v>99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</row>
    <row r="233" spans="2:12" x14ac:dyDescent="0.3">
      <c r="B233" s="34" t="s">
        <v>100</v>
      </c>
      <c r="C233" s="33">
        <f t="shared" ref="C233:K233" si="91">SUM(C234:C242)</f>
        <v>102485</v>
      </c>
      <c r="D233" s="33">
        <f t="shared" si="91"/>
        <v>96009</v>
      </c>
      <c r="E233" s="33">
        <f t="shared" si="91"/>
        <v>85494</v>
      </c>
      <c r="F233" s="33">
        <f t="shared" si="91"/>
        <v>77212</v>
      </c>
      <c r="G233" s="33">
        <f t="shared" si="91"/>
        <v>73719</v>
      </c>
      <c r="H233" s="33">
        <f t="shared" si="91"/>
        <v>73864</v>
      </c>
      <c r="I233" s="33">
        <f t="shared" si="91"/>
        <v>72889</v>
      </c>
      <c r="J233" s="33">
        <f t="shared" si="91"/>
        <v>73460</v>
      </c>
      <c r="K233" s="33">
        <f t="shared" si="91"/>
        <v>72989</v>
      </c>
      <c r="L233" s="33">
        <f t="shared" ref="L233" si="92">SUM(L234:L242)</f>
        <v>76317</v>
      </c>
    </row>
    <row r="234" spans="2:12" x14ac:dyDescent="0.3">
      <c r="B234" s="253" t="s">
        <v>120</v>
      </c>
      <c r="C234" s="254">
        <v>10504</v>
      </c>
      <c r="D234" s="254">
        <v>10510</v>
      </c>
      <c r="E234" s="254">
        <v>10661</v>
      </c>
      <c r="F234" s="254">
        <v>9836</v>
      </c>
      <c r="G234" s="254">
        <v>9528</v>
      </c>
      <c r="H234" s="254">
        <v>8504</v>
      </c>
      <c r="I234" s="254">
        <v>7613</v>
      </c>
      <c r="J234" s="254">
        <v>8052</v>
      </c>
      <c r="K234" s="254">
        <v>8368</v>
      </c>
      <c r="L234" s="254">
        <v>10284</v>
      </c>
    </row>
    <row r="235" spans="2:12" x14ac:dyDescent="0.3">
      <c r="B235" s="253" t="s">
        <v>96</v>
      </c>
      <c r="C235" s="254">
        <v>9080</v>
      </c>
      <c r="D235" s="254">
        <v>9509</v>
      </c>
      <c r="E235" s="254">
        <v>10075</v>
      </c>
      <c r="F235" s="254">
        <v>8974</v>
      </c>
      <c r="G235" s="254">
        <v>8652</v>
      </c>
      <c r="H235" s="254">
        <v>7537</v>
      </c>
      <c r="I235" s="254">
        <v>7015</v>
      </c>
      <c r="J235" s="254">
        <v>7002</v>
      </c>
      <c r="K235" s="254">
        <v>6779</v>
      </c>
      <c r="L235" s="254">
        <v>7063</v>
      </c>
    </row>
    <row r="236" spans="2:12" x14ac:dyDescent="0.3">
      <c r="B236" s="253" t="s">
        <v>102</v>
      </c>
      <c r="C236" s="254">
        <v>354</v>
      </c>
      <c r="D236" s="254">
        <v>334</v>
      </c>
      <c r="E236" s="254">
        <v>318</v>
      </c>
      <c r="F236" s="254">
        <v>281</v>
      </c>
      <c r="G236" s="254">
        <v>277</v>
      </c>
      <c r="H236" s="254">
        <v>205</v>
      </c>
      <c r="I236" s="254">
        <v>202</v>
      </c>
      <c r="J236" s="254">
        <v>198</v>
      </c>
      <c r="K236" s="254">
        <v>173</v>
      </c>
      <c r="L236" s="254">
        <v>204</v>
      </c>
    </row>
    <row r="237" spans="2:12" x14ac:dyDescent="0.3">
      <c r="B237" s="253" t="s">
        <v>97</v>
      </c>
      <c r="C237" s="254">
        <v>2412</v>
      </c>
      <c r="D237" s="254">
        <v>2202</v>
      </c>
      <c r="E237" s="254">
        <v>2079</v>
      </c>
      <c r="F237" s="254">
        <v>2079</v>
      </c>
      <c r="G237" s="254">
        <v>2434</v>
      </c>
      <c r="H237" s="254">
        <v>2194</v>
      </c>
      <c r="I237" s="254">
        <v>2427</v>
      </c>
      <c r="J237" s="254">
        <v>2703</v>
      </c>
      <c r="K237" s="254">
        <v>2398</v>
      </c>
      <c r="L237" s="254">
        <v>2551</v>
      </c>
    </row>
    <row r="238" spans="2:12" x14ac:dyDescent="0.3">
      <c r="B238" s="253" t="s">
        <v>103</v>
      </c>
      <c r="C238" s="254">
        <v>0</v>
      </c>
      <c r="D238" s="254">
        <v>0</v>
      </c>
      <c r="E238" s="254">
        <v>0</v>
      </c>
      <c r="F238" s="254">
        <v>0</v>
      </c>
      <c r="G238" s="254">
        <v>0</v>
      </c>
      <c r="H238" s="254">
        <v>0</v>
      </c>
      <c r="I238" s="254">
        <v>0</v>
      </c>
      <c r="J238" s="254">
        <v>0</v>
      </c>
      <c r="K238" s="254">
        <v>0</v>
      </c>
      <c r="L238" s="254">
        <v>0</v>
      </c>
    </row>
    <row r="239" spans="2:12" x14ac:dyDescent="0.3">
      <c r="B239" s="253" t="s">
        <v>104</v>
      </c>
      <c r="C239" s="254">
        <v>51880</v>
      </c>
      <c r="D239" s="254">
        <v>48908</v>
      </c>
      <c r="E239" s="254">
        <v>42763</v>
      </c>
      <c r="F239" s="254">
        <v>39018</v>
      </c>
      <c r="G239" s="254">
        <v>36057</v>
      </c>
      <c r="H239" s="254">
        <v>37826</v>
      </c>
      <c r="I239" s="254">
        <v>38540</v>
      </c>
      <c r="J239" s="254">
        <v>38120</v>
      </c>
      <c r="K239" s="254">
        <v>37273</v>
      </c>
      <c r="L239" s="254">
        <v>37841</v>
      </c>
    </row>
    <row r="240" spans="2:12" x14ac:dyDescent="0.3">
      <c r="B240" s="253" t="s">
        <v>123</v>
      </c>
      <c r="C240" s="254">
        <v>23947</v>
      </c>
      <c r="D240" s="254">
        <v>20801</v>
      </c>
      <c r="E240" s="254">
        <v>16590</v>
      </c>
      <c r="F240" s="254">
        <v>14339</v>
      </c>
      <c r="G240" s="254">
        <v>13874</v>
      </c>
      <c r="H240" s="254">
        <v>15074</v>
      </c>
      <c r="I240" s="254">
        <v>14367</v>
      </c>
      <c r="J240" s="254">
        <v>14312</v>
      </c>
      <c r="K240" s="254">
        <v>14932</v>
      </c>
      <c r="L240" s="254">
        <v>15481</v>
      </c>
    </row>
    <row r="241" spans="2:12" x14ac:dyDescent="0.3">
      <c r="B241" s="253" t="s">
        <v>114</v>
      </c>
      <c r="C241" s="254">
        <v>4306</v>
      </c>
      <c r="D241" s="254">
        <v>3743</v>
      </c>
      <c r="E241" s="254">
        <v>3007</v>
      </c>
      <c r="F241" s="254">
        <v>2684</v>
      </c>
      <c r="G241" s="254">
        <v>2897</v>
      </c>
      <c r="H241" s="254">
        <v>2523</v>
      </c>
      <c r="I241" s="254">
        <v>2722</v>
      </c>
      <c r="J241" s="254">
        <v>3070</v>
      </c>
      <c r="K241" s="254">
        <v>3064</v>
      </c>
      <c r="L241" s="254">
        <v>2890</v>
      </c>
    </row>
    <row r="242" spans="2:12" ht="15" thickBot="1" x14ac:dyDescent="0.35">
      <c r="B242" s="32" t="s">
        <v>99</v>
      </c>
      <c r="C242" s="13">
        <v>2</v>
      </c>
      <c r="D242" s="13">
        <v>2</v>
      </c>
      <c r="E242" s="13">
        <v>1</v>
      </c>
      <c r="F242" s="13">
        <v>1</v>
      </c>
      <c r="G242" s="13">
        <v>0</v>
      </c>
      <c r="H242" s="13">
        <v>1</v>
      </c>
      <c r="I242" s="13">
        <v>3</v>
      </c>
      <c r="J242" s="13">
        <v>3</v>
      </c>
      <c r="K242" s="13">
        <v>2</v>
      </c>
      <c r="L242" s="13">
        <v>3</v>
      </c>
    </row>
    <row r="243" spans="2:12" x14ac:dyDescent="0.3">
      <c r="B243" s="34" t="s">
        <v>106</v>
      </c>
      <c r="C243" s="33">
        <f t="shared" ref="C243:K243" si="93">SUM(C244:C245)</f>
        <v>504</v>
      </c>
      <c r="D243" s="33">
        <f t="shared" si="93"/>
        <v>584</v>
      </c>
      <c r="E243" s="33">
        <f t="shared" si="93"/>
        <v>688</v>
      </c>
      <c r="F243" s="33">
        <f t="shared" si="93"/>
        <v>726</v>
      </c>
      <c r="G243" s="33">
        <f t="shared" si="93"/>
        <v>750</v>
      </c>
      <c r="H243" s="33">
        <f t="shared" si="93"/>
        <v>661</v>
      </c>
      <c r="I243" s="33">
        <f t="shared" si="93"/>
        <v>660</v>
      </c>
      <c r="J243" s="33">
        <f t="shared" si="93"/>
        <v>656</v>
      </c>
      <c r="K243" s="33">
        <f t="shared" si="93"/>
        <v>770</v>
      </c>
      <c r="L243" s="33">
        <f t="shared" ref="L243" si="94">SUM(L244:L245)</f>
        <v>845</v>
      </c>
    </row>
    <row r="244" spans="2:12" x14ac:dyDescent="0.3">
      <c r="B244" s="253" t="s">
        <v>107</v>
      </c>
      <c r="C244" s="254">
        <v>202</v>
      </c>
      <c r="D244" s="254">
        <v>251</v>
      </c>
      <c r="E244" s="254">
        <v>355</v>
      </c>
      <c r="F244" s="254">
        <v>364</v>
      </c>
      <c r="G244" s="254">
        <v>403</v>
      </c>
      <c r="H244" s="254">
        <v>430</v>
      </c>
      <c r="I244" s="254">
        <v>468</v>
      </c>
      <c r="J244" s="254">
        <v>465</v>
      </c>
      <c r="K244" s="254">
        <v>551</v>
      </c>
      <c r="L244" s="254">
        <v>633</v>
      </c>
    </row>
    <row r="245" spans="2:12" ht="15" thickBot="1" x14ac:dyDescent="0.35">
      <c r="B245" s="32" t="s">
        <v>108</v>
      </c>
      <c r="C245" s="13">
        <v>302</v>
      </c>
      <c r="D245" s="13">
        <v>333</v>
      </c>
      <c r="E245" s="13">
        <v>333</v>
      </c>
      <c r="F245" s="13">
        <v>362</v>
      </c>
      <c r="G245" s="13">
        <v>347</v>
      </c>
      <c r="H245" s="13">
        <v>231</v>
      </c>
      <c r="I245" s="13">
        <v>192</v>
      </c>
      <c r="J245" s="13">
        <v>191</v>
      </c>
      <c r="K245" s="13">
        <v>219</v>
      </c>
      <c r="L245" s="13">
        <v>212</v>
      </c>
    </row>
    <row r="246" spans="2:12" x14ac:dyDescent="0.3">
      <c r="B246" s="34" t="s">
        <v>109</v>
      </c>
      <c r="C246" s="33">
        <f t="shared" ref="C246:K246" si="95">SUM(C247:C249)</f>
        <v>11844</v>
      </c>
      <c r="D246" s="33">
        <f t="shared" si="95"/>
        <v>11719</v>
      </c>
      <c r="E246" s="33">
        <f t="shared" si="95"/>
        <v>10473</v>
      </c>
      <c r="F246" s="33">
        <f t="shared" si="95"/>
        <v>9098</v>
      </c>
      <c r="G246" s="33">
        <f t="shared" si="95"/>
        <v>8483</v>
      </c>
      <c r="H246" s="33">
        <f t="shared" si="95"/>
        <v>8701</v>
      </c>
      <c r="I246" s="33">
        <f t="shared" si="95"/>
        <v>9045</v>
      </c>
      <c r="J246" s="33">
        <f t="shared" si="95"/>
        <v>7628</v>
      </c>
      <c r="K246" s="33">
        <f t="shared" si="95"/>
        <v>6586</v>
      </c>
      <c r="L246" s="33">
        <f t="shared" ref="L246" si="96">SUM(L247:L249)</f>
        <v>5705</v>
      </c>
    </row>
    <row r="247" spans="2:12" x14ac:dyDescent="0.3">
      <c r="B247" s="253" t="s">
        <v>110</v>
      </c>
      <c r="C247" s="254">
        <v>5790</v>
      </c>
      <c r="D247" s="254">
        <v>6156</v>
      </c>
      <c r="E247" s="254">
        <v>5797</v>
      </c>
      <c r="F247" s="254">
        <v>4625</v>
      </c>
      <c r="G247" s="254">
        <v>4191</v>
      </c>
      <c r="H247" s="254">
        <v>4845</v>
      </c>
      <c r="I247" s="254">
        <v>5242</v>
      </c>
      <c r="J247" s="254">
        <v>4739</v>
      </c>
      <c r="K247" s="254">
        <v>3555</v>
      </c>
      <c r="L247" s="254">
        <v>2731</v>
      </c>
    </row>
    <row r="248" spans="2:12" x14ac:dyDescent="0.3">
      <c r="B248" s="210" t="s">
        <v>124</v>
      </c>
      <c r="C248" s="211">
        <v>6054</v>
      </c>
      <c r="D248" s="211">
        <v>5563</v>
      </c>
      <c r="E248" s="211">
        <v>4676</v>
      </c>
      <c r="F248" s="211">
        <v>4473</v>
      </c>
      <c r="G248" s="211">
        <v>4292</v>
      </c>
      <c r="H248" s="211">
        <v>3856</v>
      </c>
      <c r="I248" s="211">
        <v>3803</v>
      </c>
      <c r="J248" s="211">
        <v>2889</v>
      </c>
      <c r="K248" s="211">
        <v>3029</v>
      </c>
      <c r="L248" s="211">
        <v>2973</v>
      </c>
    </row>
    <row r="249" spans="2:12" ht="15" thickBot="1" x14ac:dyDescent="0.35">
      <c r="B249" s="32" t="s">
        <v>111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2</v>
      </c>
      <c r="L249" s="13">
        <v>1</v>
      </c>
    </row>
    <row r="250" spans="2:12" ht="15" thickBot="1" x14ac:dyDescent="0.35">
      <c r="B250" s="31" t="s">
        <v>131</v>
      </c>
      <c r="C250" s="30">
        <f t="shared" ref="C250:L250" si="97">C224+C233+C243+C246</f>
        <v>422564</v>
      </c>
      <c r="D250" s="30">
        <f t="shared" si="97"/>
        <v>433862</v>
      </c>
      <c r="E250" s="30">
        <f t="shared" si="97"/>
        <v>440283</v>
      </c>
      <c r="F250" s="30">
        <f t="shared" si="97"/>
        <v>439847</v>
      </c>
      <c r="G250" s="30">
        <f t="shared" si="97"/>
        <v>444308</v>
      </c>
      <c r="H250" s="30">
        <f t="shared" si="97"/>
        <v>452035</v>
      </c>
      <c r="I250" s="30">
        <f t="shared" si="97"/>
        <v>451587</v>
      </c>
      <c r="J250" s="30">
        <f t="shared" si="97"/>
        <v>445143</v>
      </c>
      <c r="K250" s="30">
        <f t="shared" si="97"/>
        <v>440197</v>
      </c>
      <c r="L250" s="30">
        <f t="shared" si="97"/>
        <v>442471</v>
      </c>
    </row>
    <row r="253" spans="2:12" x14ac:dyDescent="0.3">
      <c r="B253" s="41" t="s">
        <v>132</v>
      </c>
    </row>
    <row r="254" spans="2:12" ht="28.8" x14ac:dyDescent="0.3">
      <c r="B254" s="56"/>
      <c r="K254" s="37"/>
      <c r="L254" s="307" t="s">
        <v>133</v>
      </c>
    </row>
    <row r="255" spans="2:12" ht="15" thickBot="1" x14ac:dyDescent="0.35">
      <c r="B255" s="59"/>
      <c r="C255" s="16">
        <v>2010</v>
      </c>
      <c r="D255" s="16">
        <v>2011</v>
      </c>
      <c r="E255" s="16">
        <v>2012</v>
      </c>
      <c r="F255" s="16">
        <v>2013</v>
      </c>
      <c r="G255" s="16">
        <v>2014</v>
      </c>
      <c r="H255" s="16">
        <v>2015</v>
      </c>
      <c r="I255" s="16">
        <v>2016</v>
      </c>
      <c r="J255" s="16">
        <v>2017</v>
      </c>
      <c r="K255" s="16">
        <v>2018</v>
      </c>
      <c r="L255" s="16">
        <v>2019</v>
      </c>
    </row>
    <row r="256" spans="2:12" x14ac:dyDescent="0.3">
      <c r="B256" s="55" t="s">
        <v>134</v>
      </c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spans="2:12" x14ac:dyDescent="0.3">
      <c r="B257" s="253" t="s">
        <v>54</v>
      </c>
      <c r="C257" s="254">
        <v>110289</v>
      </c>
      <c r="D257" s="254">
        <v>105891</v>
      </c>
      <c r="E257" s="254">
        <v>100804</v>
      </c>
      <c r="F257" s="254">
        <v>95778</v>
      </c>
      <c r="G257" s="254">
        <v>89778</v>
      </c>
      <c r="H257" s="254">
        <v>82330</v>
      </c>
      <c r="I257" s="254">
        <v>70636</v>
      </c>
      <c r="J257" s="254">
        <v>82345</v>
      </c>
      <c r="K257" s="254">
        <v>82370</v>
      </c>
      <c r="L257" s="231" t="s">
        <v>135</v>
      </c>
    </row>
    <row r="258" spans="2:12" x14ac:dyDescent="0.3">
      <c r="B258" s="253" t="s">
        <v>55</v>
      </c>
      <c r="C258" s="254">
        <v>31790</v>
      </c>
      <c r="D258" s="254">
        <v>32082</v>
      </c>
      <c r="E258" s="254">
        <v>29449</v>
      </c>
      <c r="F258" s="254">
        <v>25611</v>
      </c>
      <c r="G258" s="254">
        <v>24590</v>
      </c>
      <c r="H258" s="254">
        <v>23261</v>
      </c>
      <c r="I258" s="254">
        <v>20760</v>
      </c>
      <c r="J258" s="254">
        <v>20574</v>
      </c>
      <c r="K258" s="254">
        <v>20109</v>
      </c>
      <c r="L258" s="231" t="s">
        <v>135</v>
      </c>
    </row>
    <row r="259" spans="2:12" x14ac:dyDescent="0.3">
      <c r="B259" s="253" t="s">
        <v>56</v>
      </c>
      <c r="C259" s="254">
        <v>14472</v>
      </c>
      <c r="D259" s="254">
        <v>15950</v>
      </c>
      <c r="E259" s="254">
        <v>18272</v>
      </c>
      <c r="F259" s="254">
        <v>14956</v>
      </c>
      <c r="G259" s="254">
        <v>15233</v>
      </c>
      <c r="H259" s="254">
        <v>13608</v>
      </c>
      <c r="I259" s="254">
        <v>11931</v>
      </c>
      <c r="J259" s="254">
        <v>12612</v>
      </c>
      <c r="K259" s="254">
        <v>12949</v>
      </c>
      <c r="L259" s="231" t="s">
        <v>135</v>
      </c>
    </row>
    <row r="260" spans="2:12" x14ac:dyDescent="0.3">
      <c r="B260" s="253" t="s">
        <v>57</v>
      </c>
      <c r="C260" s="254">
        <v>23643</v>
      </c>
      <c r="D260" s="254">
        <v>23782</v>
      </c>
      <c r="E260" s="254">
        <v>23841</v>
      </c>
      <c r="F260" s="254">
        <v>22302</v>
      </c>
      <c r="G260" s="254">
        <v>20601</v>
      </c>
      <c r="H260" s="254">
        <v>18727</v>
      </c>
      <c r="I260" s="254">
        <v>19424</v>
      </c>
      <c r="J260" s="254">
        <v>19811</v>
      </c>
      <c r="K260" s="254">
        <v>21077</v>
      </c>
      <c r="L260" s="231" t="s">
        <v>135</v>
      </c>
    </row>
    <row r="261" spans="2:12" x14ac:dyDescent="0.3">
      <c r="B261" s="253" t="s">
        <v>58</v>
      </c>
      <c r="C261" s="254">
        <v>8176</v>
      </c>
      <c r="D261" s="254">
        <v>7429</v>
      </c>
      <c r="E261" s="254">
        <v>7487</v>
      </c>
      <c r="F261" s="254">
        <v>5708</v>
      </c>
      <c r="G261" s="254">
        <v>6063</v>
      </c>
      <c r="H261" s="254">
        <v>4417</v>
      </c>
      <c r="I261" s="254">
        <v>4925</v>
      </c>
      <c r="J261" s="254">
        <v>4416</v>
      </c>
      <c r="K261" s="254">
        <v>4482</v>
      </c>
      <c r="L261" s="231" t="s">
        <v>135</v>
      </c>
    </row>
    <row r="262" spans="2:12" ht="15" thickBot="1" x14ac:dyDescent="0.35">
      <c r="B262" s="54" t="s">
        <v>136</v>
      </c>
      <c r="C262" s="58">
        <f>SUM(C257:C261)</f>
        <v>188370</v>
      </c>
      <c r="D262" s="58">
        <f t="shared" ref="D262:K262" si="98">SUM(D257:D261)</f>
        <v>185134</v>
      </c>
      <c r="E262" s="58">
        <f t="shared" si="98"/>
        <v>179853</v>
      </c>
      <c r="F262" s="58">
        <f t="shared" si="98"/>
        <v>164355</v>
      </c>
      <c r="G262" s="58">
        <f t="shared" si="98"/>
        <v>156265</v>
      </c>
      <c r="H262" s="58">
        <f t="shared" si="98"/>
        <v>142343</v>
      </c>
      <c r="I262" s="58">
        <f t="shared" si="98"/>
        <v>127676</v>
      </c>
      <c r="J262" s="58">
        <f t="shared" si="98"/>
        <v>139758</v>
      </c>
      <c r="K262" s="58">
        <f t="shared" si="98"/>
        <v>140987</v>
      </c>
      <c r="L262" s="309" t="s">
        <v>135</v>
      </c>
    </row>
    <row r="263" spans="2:12" x14ac:dyDescent="0.3">
      <c r="B263" s="55" t="s">
        <v>137</v>
      </c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spans="2:12" x14ac:dyDescent="0.3">
      <c r="B264" s="253" t="s">
        <v>54</v>
      </c>
      <c r="C264" s="254">
        <v>122643</v>
      </c>
      <c r="D264" s="254">
        <v>106814</v>
      </c>
      <c r="E264" s="254">
        <v>108902</v>
      </c>
      <c r="F264" s="254">
        <v>103963</v>
      </c>
      <c r="G264" s="254">
        <v>102495</v>
      </c>
      <c r="H264" s="254">
        <v>94389</v>
      </c>
      <c r="I264" s="254">
        <v>76976</v>
      </c>
      <c r="J264" s="254">
        <v>79905</v>
      </c>
      <c r="K264" s="254">
        <v>79758</v>
      </c>
      <c r="L264" s="231" t="s">
        <v>135</v>
      </c>
    </row>
    <row r="265" spans="2:12" x14ac:dyDescent="0.3">
      <c r="B265" s="253" t="s">
        <v>55</v>
      </c>
      <c r="C265" s="254">
        <v>32845</v>
      </c>
      <c r="D265" s="254">
        <v>30140</v>
      </c>
      <c r="E265" s="254">
        <v>31244</v>
      </c>
      <c r="F265" s="254">
        <v>27627</v>
      </c>
      <c r="G265" s="254">
        <v>25710</v>
      </c>
      <c r="H265" s="254">
        <v>26297</v>
      </c>
      <c r="I265" s="254">
        <v>20901</v>
      </c>
      <c r="J265" s="254">
        <v>21182</v>
      </c>
      <c r="K265" s="254">
        <v>21022</v>
      </c>
      <c r="L265" s="231" t="s">
        <v>135</v>
      </c>
    </row>
    <row r="266" spans="2:12" x14ac:dyDescent="0.3">
      <c r="B266" s="253" t="s">
        <v>56</v>
      </c>
      <c r="C266" s="254">
        <v>18958</v>
      </c>
      <c r="D266" s="254">
        <v>19973</v>
      </c>
      <c r="E266" s="254">
        <v>20724</v>
      </c>
      <c r="F266" s="254">
        <v>18593</v>
      </c>
      <c r="G266" s="254">
        <v>17186</v>
      </c>
      <c r="H266" s="254">
        <v>16528</v>
      </c>
      <c r="I266" s="254">
        <v>14698</v>
      </c>
      <c r="J266" s="254">
        <v>13853</v>
      </c>
      <c r="K266" s="254">
        <v>14065</v>
      </c>
      <c r="L266" s="231" t="s">
        <v>135</v>
      </c>
    </row>
    <row r="267" spans="2:12" x14ac:dyDescent="0.3">
      <c r="B267" s="253" t="s">
        <v>57</v>
      </c>
      <c r="C267" s="254">
        <v>26930</v>
      </c>
      <c r="D267" s="254">
        <v>22187</v>
      </c>
      <c r="E267" s="254">
        <v>24529</v>
      </c>
      <c r="F267" s="254">
        <v>24044</v>
      </c>
      <c r="G267" s="254">
        <v>24267</v>
      </c>
      <c r="H267" s="254">
        <v>21122</v>
      </c>
      <c r="I267" s="254">
        <v>19271</v>
      </c>
      <c r="J267" s="254">
        <v>18485</v>
      </c>
      <c r="K267" s="254">
        <v>20220</v>
      </c>
      <c r="L267" s="231" t="s">
        <v>135</v>
      </c>
    </row>
    <row r="268" spans="2:12" x14ac:dyDescent="0.3">
      <c r="B268" s="253" t="s">
        <v>58</v>
      </c>
      <c r="C268" s="254">
        <v>7451</v>
      </c>
      <c r="D268" s="254">
        <v>6143</v>
      </c>
      <c r="E268" s="254">
        <v>7925</v>
      </c>
      <c r="F268" s="254">
        <v>5676</v>
      </c>
      <c r="G268" s="254">
        <v>7181</v>
      </c>
      <c r="H268" s="254">
        <v>6028</v>
      </c>
      <c r="I268" s="254">
        <v>5630</v>
      </c>
      <c r="J268" s="254">
        <v>5621</v>
      </c>
      <c r="K268" s="254">
        <v>7330</v>
      </c>
      <c r="L268" s="231" t="s">
        <v>135</v>
      </c>
    </row>
    <row r="269" spans="2:12" ht="15" thickBot="1" x14ac:dyDescent="0.35">
      <c r="B269" s="54" t="s">
        <v>138</v>
      </c>
      <c r="C269" s="58">
        <f t="shared" ref="C269:K269" si="99">+SUM(C264:C268)</f>
        <v>208827</v>
      </c>
      <c r="D269" s="58">
        <f t="shared" si="99"/>
        <v>185257</v>
      </c>
      <c r="E269" s="58">
        <f t="shared" si="99"/>
        <v>193324</v>
      </c>
      <c r="F269" s="58">
        <f t="shared" si="99"/>
        <v>179903</v>
      </c>
      <c r="G269" s="58">
        <f t="shared" si="99"/>
        <v>176839</v>
      </c>
      <c r="H269" s="58">
        <f t="shared" si="99"/>
        <v>164364</v>
      </c>
      <c r="I269" s="58">
        <f t="shared" si="99"/>
        <v>137476</v>
      </c>
      <c r="J269" s="58">
        <f t="shared" si="99"/>
        <v>139046</v>
      </c>
      <c r="K269" s="58">
        <f t="shared" si="99"/>
        <v>142395</v>
      </c>
      <c r="L269" s="309" t="s">
        <v>135</v>
      </c>
    </row>
    <row r="270" spans="2:12" x14ac:dyDescent="0.3">
      <c r="B270" s="56"/>
      <c r="H270" s="57"/>
      <c r="I270" s="57"/>
      <c r="J270" s="57"/>
      <c r="K270" s="57"/>
      <c r="L270" s="57"/>
    </row>
    <row r="271" spans="2:12" x14ac:dyDescent="0.3">
      <c r="B271" s="56"/>
      <c r="H271" s="57"/>
      <c r="I271" s="57"/>
      <c r="J271" s="57"/>
      <c r="K271" s="57"/>
      <c r="L271" s="57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5" manualBreakCount="5">
    <brk id="34" max="16383" man="1"/>
    <brk id="64" max="16383" man="1"/>
    <brk id="94" max="16383" man="1"/>
    <brk id="125" max="16383" man="1"/>
    <brk id="16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5"/>
  <sheetViews>
    <sheetView zoomScaleNormal="100" workbookViewId="0"/>
  </sheetViews>
  <sheetFormatPr defaultColWidth="9.109375" defaultRowHeight="14.4" x14ac:dyDescent="0.3"/>
  <cols>
    <col min="1" max="1" width="9.109375" style="1" customWidth="1"/>
    <col min="2" max="2" width="58.6640625" style="1" customWidth="1"/>
    <col min="3" max="7" width="11.6640625" style="1" customWidth="1"/>
    <col min="8" max="12" width="11.6640625" style="7" customWidth="1"/>
    <col min="13" max="16384" width="9.109375" style="1"/>
  </cols>
  <sheetData>
    <row r="2" spans="2:12" ht="17.399999999999999" x14ac:dyDescent="0.35">
      <c r="B2" s="157" t="s">
        <v>139</v>
      </c>
    </row>
    <row r="3" spans="2:12" x14ac:dyDescent="0.3">
      <c r="B3" s="39"/>
    </row>
    <row r="4" spans="2:12" x14ac:dyDescent="0.3">
      <c r="B4" s="39"/>
    </row>
    <row r="5" spans="2:12" s="7" customFormat="1" x14ac:dyDescent="0.3">
      <c r="B5" s="41" t="s">
        <v>140</v>
      </c>
    </row>
    <row r="6" spans="2:12" x14ac:dyDescent="0.3">
      <c r="B6" s="56"/>
      <c r="C6" s="7"/>
      <c r="D6" s="7"/>
      <c r="E6" s="7"/>
      <c r="F6" s="7"/>
      <c r="G6" s="7"/>
    </row>
    <row r="7" spans="2:12" ht="15" thickBot="1" x14ac:dyDescent="0.35">
      <c r="B7" s="59"/>
      <c r="C7" s="16">
        <v>2010</v>
      </c>
      <c r="D7" s="16">
        <v>2011</v>
      </c>
      <c r="E7" s="16">
        <v>2012</v>
      </c>
      <c r="F7" s="16">
        <v>2013</v>
      </c>
      <c r="G7" s="16">
        <v>2014</v>
      </c>
      <c r="H7" s="16">
        <v>2015</v>
      </c>
      <c r="I7" s="16">
        <v>2016</v>
      </c>
      <c r="J7" s="16">
        <v>2017</v>
      </c>
      <c r="K7" s="16">
        <v>2018</v>
      </c>
      <c r="L7" s="16">
        <v>2019</v>
      </c>
    </row>
    <row r="8" spans="2:12" ht="15" thickBot="1" x14ac:dyDescent="0.35">
      <c r="B8" s="75" t="s">
        <v>141</v>
      </c>
      <c r="C8" s="77" t="s">
        <v>142</v>
      </c>
      <c r="D8" s="77" t="s">
        <v>142</v>
      </c>
      <c r="E8" s="30">
        <f t="shared" ref="E8:L8" si="0">+SUM(E9,E15)</f>
        <v>652147</v>
      </c>
      <c r="F8" s="30">
        <f t="shared" si="0"/>
        <v>727803</v>
      </c>
      <c r="G8" s="30">
        <f t="shared" si="0"/>
        <v>771852</v>
      </c>
      <c r="H8" s="30">
        <f t="shared" si="0"/>
        <v>736204</v>
      </c>
      <c r="I8" s="30">
        <f t="shared" si="0"/>
        <v>734767</v>
      </c>
      <c r="J8" s="30">
        <f t="shared" si="0"/>
        <v>687651</v>
      </c>
      <c r="K8" s="30">
        <f t="shared" si="0"/>
        <v>701867</v>
      </c>
      <c r="L8" s="30">
        <f t="shared" si="0"/>
        <v>661752</v>
      </c>
    </row>
    <row r="9" spans="2:12" x14ac:dyDescent="0.3">
      <c r="B9" s="199" t="s">
        <v>143</v>
      </c>
      <c r="C9" s="200" t="s">
        <v>142</v>
      </c>
      <c r="D9" s="200" t="s">
        <v>142</v>
      </c>
      <c r="E9" s="201">
        <f t="shared" ref="E9:J9" si="1">+SUM(E10:E14)</f>
        <v>242366</v>
      </c>
      <c r="F9" s="201">
        <f t="shared" si="1"/>
        <v>287497</v>
      </c>
      <c r="G9" s="201">
        <f t="shared" si="1"/>
        <v>299985</v>
      </c>
      <c r="H9" s="201">
        <f t="shared" si="1"/>
        <v>238950</v>
      </c>
      <c r="I9" s="201">
        <f t="shared" si="1"/>
        <v>244107</v>
      </c>
      <c r="J9" s="201">
        <f t="shared" si="1"/>
        <v>220659</v>
      </c>
      <c r="K9" s="201">
        <f t="shared" ref="K9:L9" si="2">+SUM(K10:K14)</f>
        <v>222212</v>
      </c>
      <c r="L9" s="201">
        <f t="shared" si="2"/>
        <v>224343</v>
      </c>
    </row>
    <row r="10" spans="2:12" x14ac:dyDescent="0.3">
      <c r="B10" s="297" t="s">
        <v>54</v>
      </c>
      <c r="C10" s="231" t="s">
        <v>142</v>
      </c>
      <c r="D10" s="231" t="s">
        <v>142</v>
      </c>
      <c r="E10" s="254">
        <v>192647</v>
      </c>
      <c r="F10" s="254">
        <v>223746</v>
      </c>
      <c r="G10" s="254">
        <v>242783</v>
      </c>
      <c r="H10" s="254">
        <v>187047</v>
      </c>
      <c r="I10" s="254">
        <v>189279</v>
      </c>
      <c r="J10" s="254">
        <v>173088</v>
      </c>
      <c r="K10" s="254">
        <v>170996</v>
      </c>
      <c r="L10" s="254">
        <v>173432</v>
      </c>
    </row>
    <row r="11" spans="2:12" x14ac:dyDescent="0.3">
      <c r="B11" s="297" t="s">
        <v>55</v>
      </c>
      <c r="C11" s="231" t="s">
        <v>142</v>
      </c>
      <c r="D11" s="231" t="s">
        <v>142</v>
      </c>
      <c r="E11" s="254">
        <v>17437</v>
      </c>
      <c r="F11" s="254">
        <v>23968</v>
      </c>
      <c r="G11" s="254">
        <v>21505</v>
      </c>
      <c r="H11" s="254">
        <v>19379</v>
      </c>
      <c r="I11" s="254">
        <v>19847</v>
      </c>
      <c r="J11" s="254">
        <v>17619</v>
      </c>
      <c r="K11" s="254">
        <v>18796</v>
      </c>
      <c r="L11" s="254">
        <v>18260</v>
      </c>
    </row>
    <row r="12" spans="2:12" x14ac:dyDescent="0.3">
      <c r="B12" s="297" t="s">
        <v>56</v>
      </c>
      <c r="C12" s="231" t="s">
        <v>142</v>
      </c>
      <c r="D12" s="231" t="s">
        <v>142</v>
      </c>
      <c r="E12" s="254">
        <v>11087</v>
      </c>
      <c r="F12" s="254">
        <v>14705</v>
      </c>
      <c r="G12" s="254">
        <v>12781</v>
      </c>
      <c r="H12" s="254">
        <v>11401</v>
      </c>
      <c r="I12" s="254">
        <v>13939</v>
      </c>
      <c r="J12" s="254">
        <v>11174</v>
      </c>
      <c r="K12" s="254">
        <v>11834</v>
      </c>
      <c r="L12" s="254">
        <v>11948</v>
      </c>
    </row>
    <row r="13" spans="2:12" x14ac:dyDescent="0.3">
      <c r="B13" s="297" t="s">
        <v>57</v>
      </c>
      <c r="C13" s="231" t="s">
        <v>142</v>
      </c>
      <c r="D13" s="231" t="s">
        <v>142</v>
      </c>
      <c r="E13" s="254">
        <v>17931</v>
      </c>
      <c r="F13" s="254">
        <v>20623</v>
      </c>
      <c r="G13" s="254">
        <v>18861</v>
      </c>
      <c r="H13" s="254">
        <v>17439</v>
      </c>
      <c r="I13" s="254">
        <v>16989</v>
      </c>
      <c r="J13" s="254">
        <v>15318</v>
      </c>
      <c r="K13" s="254">
        <v>16718</v>
      </c>
      <c r="L13" s="254">
        <v>16560</v>
      </c>
    </row>
    <row r="14" spans="2:12" ht="15" thickBot="1" x14ac:dyDescent="0.35">
      <c r="B14" s="78" t="s">
        <v>58</v>
      </c>
      <c r="C14" s="76" t="s">
        <v>142</v>
      </c>
      <c r="D14" s="76" t="s">
        <v>142</v>
      </c>
      <c r="E14" s="13">
        <v>3264</v>
      </c>
      <c r="F14" s="13">
        <v>4455</v>
      </c>
      <c r="G14" s="13">
        <v>4055</v>
      </c>
      <c r="H14" s="13">
        <v>3684</v>
      </c>
      <c r="I14" s="13">
        <v>4053</v>
      </c>
      <c r="J14" s="13">
        <v>3460</v>
      </c>
      <c r="K14" s="13">
        <v>3868</v>
      </c>
      <c r="L14" s="13">
        <v>4143</v>
      </c>
    </row>
    <row r="15" spans="2:12" x14ac:dyDescent="0.3">
      <c r="B15" s="199" t="s">
        <v>144</v>
      </c>
      <c r="C15" s="200" t="s">
        <v>142</v>
      </c>
      <c r="D15" s="200" t="s">
        <v>142</v>
      </c>
      <c r="E15" s="201">
        <f>+SUM(E16:E20)</f>
        <v>409781</v>
      </c>
      <c r="F15" s="201">
        <f>+SUM(F16:F20)</f>
        <v>440306</v>
      </c>
      <c r="G15" s="201">
        <f>+SUM(G16:G20)</f>
        <v>471867</v>
      </c>
      <c r="H15" s="201">
        <f>+SUM(H16:H20)</f>
        <v>497254</v>
      </c>
      <c r="I15" s="201">
        <f>+SUM(I16:I20)</f>
        <v>490660</v>
      </c>
      <c r="J15" s="201">
        <f t="shared" ref="J15:L15" si="3">+SUM(J16:J20)</f>
        <v>466992</v>
      </c>
      <c r="K15" s="201">
        <f t="shared" si="3"/>
        <v>479655</v>
      </c>
      <c r="L15" s="201">
        <f t="shared" si="3"/>
        <v>437409</v>
      </c>
    </row>
    <row r="16" spans="2:12" x14ac:dyDescent="0.3">
      <c r="B16" s="297" t="s">
        <v>54</v>
      </c>
      <c r="C16" s="231" t="s">
        <v>142</v>
      </c>
      <c r="D16" s="231" t="s">
        <v>142</v>
      </c>
      <c r="E16" s="254">
        <v>329382</v>
      </c>
      <c r="F16" s="254">
        <v>344687</v>
      </c>
      <c r="G16" s="254">
        <v>371849</v>
      </c>
      <c r="H16" s="254">
        <v>402067</v>
      </c>
      <c r="I16" s="254">
        <v>397450</v>
      </c>
      <c r="J16" s="254">
        <v>371461</v>
      </c>
      <c r="K16" s="254">
        <v>382190</v>
      </c>
      <c r="L16" s="254">
        <v>351004</v>
      </c>
    </row>
    <row r="17" spans="2:12" x14ac:dyDescent="0.3">
      <c r="B17" s="297" t="s">
        <v>55</v>
      </c>
      <c r="C17" s="231" t="s">
        <v>142</v>
      </c>
      <c r="D17" s="231" t="s">
        <v>142</v>
      </c>
      <c r="E17" s="254">
        <v>27264</v>
      </c>
      <c r="F17" s="254">
        <v>31721</v>
      </c>
      <c r="G17" s="254">
        <v>33850</v>
      </c>
      <c r="H17" s="254">
        <v>32696</v>
      </c>
      <c r="I17" s="254">
        <v>34043</v>
      </c>
      <c r="J17" s="254">
        <v>31024</v>
      </c>
      <c r="K17" s="254">
        <v>32658</v>
      </c>
      <c r="L17" s="254">
        <v>30141</v>
      </c>
    </row>
    <row r="18" spans="2:12" x14ac:dyDescent="0.3">
      <c r="B18" s="297" t="s">
        <v>56</v>
      </c>
      <c r="C18" s="231" t="s">
        <v>142</v>
      </c>
      <c r="D18" s="231" t="s">
        <v>142</v>
      </c>
      <c r="E18" s="254">
        <v>18919</v>
      </c>
      <c r="F18" s="254">
        <v>21765</v>
      </c>
      <c r="G18" s="254">
        <v>21061</v>
      </c>
      <c r="H18" s="254">
        <v>16888</v>
      </c>
      <c r="I18" s="254">
        <v>17596</v>
      </c>
      <c r="J18" s="254">
        <v>21847</v>
      </c>
      <c r="K18" s="254">
        <v>22317</v>
      </c>
      <c r="L18" s="254">
        <v>18466</v>
      </c>
    </row>
    <row r="19" spans="2:12" x14ac:dyDescent="0.3">
      <c r="B19" s="297" t="s">
        <v>57</v>
      </c>
      <c r="C19" s="231" t="s">
        <v>142</v>
      </c>
      <c r="D19" s="231" t="s">
        <v>142</v>
      </c>
      <c r="E19" s="254">
        <v>26312</v>
      </c>
      <c r="F19" s="254">
        <v>33337</v>
      </c>
      <c r="G19" s="254">
        <v>35444</v>
      </c>
      <c r="H19" s="254">
        <v>35426</v>
      </c>
      <c r="I19" s="254">
        <v>30592</v>
      </c>
      <c r="J19" s="254">
        <v>31725</v>
      </c>
      <c r="K19" s="254">
        <v>32185</v>
      </c>
      <c r="L19" s="254">
        <v>27937</v>
      </c>
    </row>
    <row r="20" spans="2:12" ht="15" thickBot="1" x14ac:dyDescent="0.35">
      <c r="B20" s="78" t="s">
        <v>58</v>
      </c>
      <c r="C20" s="76" t="s">
        <v>142</v>
      </c>
      <c r="D20" s="76" t="s">
        <v>142</v>
      </c>
      <c r="E20" s="13">
        <v>7904</v>
      </c>
      <c r="F20" s="13">
        <v>8796</v>
      </c>
      <c r="G20" s="13">
        <v>9663</v>
      </c>
      <c r="H20" s="13">
        <v>10177</v>
      </c>
      <c r="I20" s="13">
        <v>10979</v>
      </c>
      <c r="J20" s="13">
        <v>10935</v>
      </c>
      <c r="K20" s="13">
        <v>10305</v>
      </c>
      <c r="L20" s="13">
        <v>9861</v>
      </c>
    </row>
    <row r="21" spans="2:12" x14ac:dyDescent="0.3">
      <c r="B21" s="56"/>
      <c r="C21" s="7"/>
      <c r="D21" s="7"/>
      <c r="E21" s="7"/>
      <c r="F21" s="7"/>
      <c r="G21" s="7"/>
    </row>
    <row r="22" spans="2:12" x14ac:dyDescent="0.3">
      <c r="H22" s="1"/>
      <c r="I22" s="1"/>
      <c r="J22" s="1"/>
    </row>
    <row r="23" spans="2:12" x14ac:dyDescent="0.3">
      <c r="B23" s="41" t="s">
        <v>145</v>
      </c>
      <c r="C23" s="7"/>
      <c r="D23" s="7"/>
      <c r="E23" s="7"/>
      <c r="F23" s="7"/>
      <c r="G23" s="7"/>
    </row>
    <row r="24" spans="2:12" ht="28.8" x14ac:dyDescent="0.3">
      <c r="B24" s="56"/>
      <c r="C24" s="7"/>
      <c r="D24" s="7"/>
      <c r="E24" s="7"/>
      <c r="F24" s="7"/>
      <c r="G24" s="7"/>
      <c r="K24" s="37"/>
      <c r="L24" s="307" t="s">
        <v>133</v>
      </c>
    </row>
    <row r="25" spans="2:12" ht="15" thickBot="1" x14ac:dyDescent="0.35">
      <c r="B25" s="59"/>
      <c r="C25" s="16">
        <f t="shared" ref="C25:H25" si="4">+C7</f>
        <v>2010</v>
      </c>
      <c r="D25" s="16">
        <f t="shared" si="4"/>
        <v>2011</v>
      </c>
      <c r="E25" s="16">
        <f t="shared" si="4"/>
        <v>2012</v>
      </c>
      <c r="F25" s="16">
        <f t="shared" si="4"/>
        <v>2013</v>
      </c>
      <c r="G25" s="16">
        <f t="shared" si="4"/>
        <v>2014</v>
      </c>
      <c r="H25" s="16">
        <f t="shared" si="4"/>
        <v>2015</v>
      </c>
      <c r="I25" s="16">
        <v>2016</v>
      </c>
      <c r="J25" s="16">
        <v>2017</v>
      </c>
      <c r="K25" s="16">
        <v>2018</v>
      </c>
      <c r="L25" s="16">
        <v>2019</v>
      </c>
    </row>
    <row r="26" spans="2:12" ht="15" thickBot="1" x14ac:dyDescent="0.35">
      <c r="B26" s="75" t="s">
        <v>146</v>
      </c>
      <c r="C26" s="77" t="s">
        <v>142</v>
      </c>
      <c r="D26" s="77" t="s">
        <v>142</v>
      </c>
      <c r="E26" s="30">
        <f t="shared" ref="E26:L26" si="5">+SUM(E27,E33)</f>
        <v>174645</v>
      </c>
      <c r="F26" s="30">
        <f t="shared" si="5"/>
        <v>198109</v>
      </c>
      <c r="G26" s="30">
        <f t="shared" si="5"/>
        <v>212196</v>
      </c>
      <c r="H26" s="30">
        <f t="shared" si="5"/>
        <v>219927</v>
      </c>
      <c r="I26" s="30">
        <f t="shared" si="5"/>
        <v>222282</v>
      </c>
      <c r="J26" s="30">
        <f t="shared" si="5"/>
        <v>219488</v>
      </c>
      <c r="K26" s="30">
        <f t="shared" si="5"/>
        <v>227885</v>
      </c>
      <c r="L26" s="30">
        <f t="shared" si="5"/>
        <v>216640</v>
      </c>
    </row>
    <row r="27" spans="2:12" x14ac:dyDescent="0.3">
      <c r="B27" s="199" t="s">
        <v>143</v>
      </c>
      <c r="C27" s="200" t="s">
        <v>142</v>
      </c>
      <c r="D27" s="200" t="s">
        <v>142</v>
      </c>
      <c r="E27" s="201">
        <f t="shared" ref="E27:J27" si="6">+SUM(E28:E32)</f>
        <v>82329</v>
      </c>
      <c r="F27" s="201">
        <f t="shared" si="6"/>
        <v>83616</v>
      </c>
      <c r="G27" s="201">
        <f t="shared" si="6"/>
        <v>87810</v>
      </c>
      <c r="H27" s="201">
        <f t="shared" si="6"/>
        <v>90313</v>
      </c>
      <c r="I27" s="201">
        <f t="shared" si="6"/>
        <v>89029</v>
      </c>
      <c r="J27" s="201">
        <f t="shared" si="6"/>
        <v>87150</v>
      </c>
      <c r="K27" s="201">
        <f t="shared" ref="K27" si="7">+SUM(K28:K32)</f>
        <v>91940</v>
      </c>
      <c r="L27" s="201">
        <v>89388</v>
      </c>
    </row>
    <row r="28" spans="2:12" x14ac:dyDescent="0.3">
      <c r="B28" s="297" t="s">
        <v>54</v>
      </c>
      <c r="C28" s="231" t="s">
        <v>142</v>
      </c>
      <c r="D28" s="231" t="s">
        <v>142</v>
      </c>
      <c r="E28" s="254">
        <v>51956</v>
      </c>
      <c r="F28" s="254">
        <v>51105</v>
      </c>
      <c r="G28" s="254">
        <v>53283</v>
      </c>
      <c r="H28" s="231">
        <v>54678</v>
      </c>
      <c r="I28" s="231">
        <v>54394</v>
      </c>
      <c r="J28" s="231">
        <v>53019</v>
      </c>
      <c r="K28" s="231">
        <v>56241</v>
      </c>
      <c r="L28" s="231">
        <v>53923</v>
      </c>
    </row>
    <row r="29" spans="2:12" x14ac:dyDescent="0.3">
      <c r="B29" s="297" t="s">
        <v>55</v>
      </c>
      <c r="C29" s="231" t="s">
        <v>142</v>
      </c>
      <c r="D29" s="231" t="s">
        <v>142</v>
      </c>
      <c r="E29" s="254">
        <v>12062</v>
      </c>
      <c r="F29" s="254">
        <v>13521</v>
      </c>
      <c r="G29" s="254">
        <v>15290</v>
      </c>
      <c r="H29" s="231">
        <v>15663</v>
      </c>
      <c r="I29" s="231">
        <v>15180</v>
      </c>
      <c r="J29" s="231">
        <v>15523</v>
      </c>
      <c r="K29" s="231">
        <v>16066</v>
      </c>
      <c r="L29" s="231">
        <v>16954</v>
      </c>
    </row>
    <row r="30" spans="2:12" x14ac:dyDescent="0.3">
      <c r="B30" s="297" t="s">
        <v>56</v>
      </c>
      <c r="C30" s="231" t="s">
        <v>142</v>
      </c>
      <c r="D30" s="231" t="s">
        <v>142</v>
      </c>
      <c r="E30" s="254">
        <v>6919</v>
      </c>
      <c r="F30" s="254">
        <v>7252</v>
      </c>
      <c r="G30" s="254">
        <v>7242</v>
      </c>
      <c r="H30" s="231">
        <v>7231</v>
      </c>
      <c r="I30" s="231">
        <v>7027</v>
      </c>
      <c r="J30" s="231">
        <v>6691</v>
      </c>
      <c r="K30" s="231">
        <v>7021</v>
      </c>
      <c r="L30" s="231">
        <v>6243</v>
      </c>
    </row>
    <row r="31" spans="2:12" x14ac:dyDescent="0.3">
      <c r="B31" s="297" t="s">
        <v>57</v>
      </c>
      <c r="C31" s="231" t="s">
        <v>142</v>
      </c>
      <c r="D31" s="231" t="s">
        <v>142</v>
      </c>
      <c r="E31" s="254">
        <v>7952</v>
      </c>
      <c r="F31" s="254">
        <v>8351</v>
      </c>
      <c r="G31" s="254">
        <v>8735</v>
      </c>
      <c r="H31" s="231">
        <v>9308</v>
      </c>
      <c r="I31" s="231">
        <v>9098</v>
      </c>
      <c r="J31" s="231">
        <v>8628</v>
      </c>
      <c r="K31" s="231">
        <v>9326</v>
      </c>
      <c r="L31" s="231">
        <v>9054</v>
      </c>
    </row>
    <row r="32" spans="2:12" ht="15" thickBot="1" x14ac:dyDescent="0.35">
      <c r="B32" s="78" t="s">
        <v>58</v>
      </c>
      <c r="C32" s="76" t="s">
        <v>142</v>
      </c>
      <c r="D32" s="76" t="s">
        <v>142</v>
      </c>
      <c r="E32" s="13">
        <v>3440</v>
      </c>
      <c r="F32" s="13">
        <v>3387</v>
      </c>
      <c r="G32" s="13">
        <v>3260</v>
      </c>
      <c r="H32" s="76">
        <v>3433</v>
      </c>
      <c r="I32" s="76">
        <v>3330</v>
      </c>
      <c r="J32" s="76">
        <v>3289</v>
      </c>
      <c r="K32" s="76">
        <v>3286</v>
      </c>
      <c r="L32" s="76">
        <v>3214</v>
      </c>
    </row>
    <row r="33" spans="2:12" x14ac:dyDescent="0.3">
      <c r="B33" s="199" t="s">
        <v>144</v>
      </c>
      <c r="C33" s="200" t="s">
        <v>142</v>
      </c>
      <c r="D33" s="200" t="s">
        <v>142</v>
      </c>
      <c r="E33" s="201">
        <f t="shared" ref="E33:L33" si="8">+SUM(E34:E38)</f>
        <v>92316</v>
      </c>
      <c r="F33" s="201">
        <f t="shared" si="8"/>
        <v>114493</v>
      </c>
      <c r="G33" s="201">
        <f t="shared" si="8"/>
        <v>124386</v>
      </c>
      <c r="H33" s="201">
        <f t="shared" si="8"/>
        <v>129614</v>
      </c>
      <c r="I33" s="201">
        <f t="shared" si="8"/>
        <v>133253</v>
      </c>
      <c r="J33" s="201">
        <f t="shared" si="8"/>
        <v>132338</v>
      </c>
      <c r="K33" s="201">
        <f t="shared" si="8"/>
        <v>135945</v>
      </c>
      <c r="L33" s="201">
        <f t="shared" si="8"/>
        <v>127252</v>
      </c>
    </row>
    <row r="34" spans="2:12" x14ac:dyDescent="0.3">
      <c r="B34" s="297" t="s">
        <v>54</v>
      </c>
      <c r="C34" s="231" t="s">
        <v>142</v>
      </c>
      <c r="D34" s="231" t="s">
        <v>142</v>
      </c>
      <c r="E34" s="254">
        <v>55135</v>
      </c>
      <c r="F34" s="254">
        <v>66666</v>
      </c>
      <c r="G34" s="254">
        <v>71852</v>
      </c>
      <c r="H34" s="231">
        <v>74703</v>
      </c>
      <c r="I34" s="231">
        <v>77119</v>
      </c>
      <c r="J34" s="231">
        <v>75957</v>
      </c>
      <c r="K34" s="231">
        <v>77413</v>
      </c>
      <c r="L34" s="231">
        <v>69815</v>
      </c>
    </row>
    <row r="35" spans="2:12" x14ac:dyDescent="0.3">
      <c r="B35" s="297" t="s">
        <v>55</v>
      </c>
      <c r="C35" s="231" t="s">
        <v>142</v>
      </c>
      <c r="D35" s="231" t="s">
        <v>142</v>
      </c>
      <c r="E35" s="254">
        <v>15164</v>
      </c>
      <c r="F35" s="254">
        <v>20861</v>
      </c>
      <c r="G35" s="254">
        <v>23147</v>
      </c>
      <c r="H35" s="231">
        <v>23557</v>
      </c>
      <c r="I35" s="231">
        <v>23988</v>
      </c>
      <c r="J35" s="231">
        <v>24712</v>
      </c>
      <c r="K35" s="231">
        <v>24936</v>
      </c>
      <c r="L35" s="231">
        <v>24628</v>
      </c>
    </row>
    <row r="36" spans="2:12" x14ac:dyDescent="0.3">
      <c r="B36" s="297" t="s">
        <v>56</v>
      </c>
      <c r="C36" s="231" t="s">
        <v>142</v>
      </c>
      <c r="D36" s="231" t="s">
        <v>142</v>
      </c>
      <c r="E36" s="254">
        <v>7688</v>
      </c>
      <c r="F36" s="254">
        <v>9410</v>
      </c>
      <c r="G36" s="254">
        <v>9904</v>
      </c>
      <c r="H36" s="231">
        <v>10382</v>
      </c>
      <c r="I36" s="231">
        <v>10209</v>
      </c>
      <c r="J36" s="231">
        <v>10809</v>
      </c>
      <c r="K36" s="231">
        <v>11350</v>
      </c>
      <c r="L36" s="231">
        <v>11078</v>
      </c>
    </row>
    <row r="37" spans="2:12" x14ac:dyDescent="0.3">
      <c r="B37" s="297" t="s">
        <v>57</v>
      </c>
      <c r="C37" s="231" t="s">
        <v>142</v>
      </c>
      <c r="D37" s="231" t="s">
        <v>142</v>
      </c>
      <c r="E37" s="254">
        <v>9365</v>
      </c>
      <c r="F37" s="254">
        <v>12047</v>
      </c>
      <c r="G37" s="254">
        <v>13616</v>
      </c>
      <c r="H37" s="231">
        <v>14729</v>
      </c>
      <c r="I37" s="231">
        <v>15582</v>
      </c>
      <c r="J37" s="231">
        <v>14386</v>
      </c>
      <c r="K37" s="231">
        <v>15496</v>
      </c>
      <c r="L37" s="231">
        <v>15384</v>
      </c>
    </row>
    <row r="38" spans="2:12" ht="15" thickBot="1" x14ac:dyDescent="0.35">
      <c r="B38" s="78" t="s">
        <v>58</v>
      </c>
      <c r="C38" s="76" t="s">
        <v>142</v>
      </c>
      <c r="D38" s="76" t="s">
        <v>142</v>
      </c>
      <c r="E38" s="13">
        <v>4964</v>
      </c>
      <c r="F38" s="13">
        <v>5509</v>
      </c>
      <c r="G38" s="13">
        <v>5867</v>
      </c>
      <c r="H38" s="76">
        <v>6243</v>
      </c>
      <c r="I38" s="76">
        <v>6355</v>
      </c>
      <c r="J38" s="76">
        <v>6474</v>
      </c>
      <c r="K38" s="76">
        <v>6750</v>
      </c>
      <c r="L38" s="76">
        <v>6347</v>
      </c>
    </row>
    <row r="39" spans="2:12" ht="15" thickBot="1" x14ac:dyDescent="0.35">
      <c r="B39" s="75" t="s">
        <v>147</v>
      </c>
      <c r="C39" s="30">
        <f t="shared" ref="C39" si="9">+SUM(C40,C46)</f>
        <v>259701</v>
      </c>
      <c r="D39" s="30">
        <f>+SUM(D40,D46)</f>
        <v>237382</v>
      </c>
      <c r="E39" s="30">
        <f>+SUM(E40,E46)</f>
        <v>165207</v>
      </c>
      <c r="F39" s="30">
        <f t="shared" ref="F39:K39" si="10">+SUM(F40,F46)</f>
        <v>164219</v>
      </c>
      <c r="G39" s="30">
        <f t="shared" si="10"/>
        <v>156772</v>
      </c>
      <c r="H39" s="30">
        <f t="shared" si="10"/>
        <v>147032</v>
      </c>
      <c r="I39" s="30">
        <f t="shared" si="10"/>
        <v>155186</v>
      </c>
      <c r="J39" s="30">
        <f t="shared" si="10"/>
        <v>141755</v>
      </c>
      <c r="K39" s="30">
        <f t="shared" si="10"/>
        <v>145113</v>
      </c>
      <c r="L39" s="77" t="s">
        <v>135</v>
      </c>
    </row>
    <row r="40" spans="2:12" x14ac:dyDescent="0.3">
      <c r="B40" s="199" t="s">
        <v>148</v>
      </c>
      <c r="C40" s="201">
        <f>+SUM(C41:C45)</f>
        <v>47032</v>
      </c>
      <c r="D40" s="201">
        <f>+SUM(D41:D45)</f>
        <v>51134</v>
      </c>
      <c r="E40" s="200" t="s">
        <v>142</v>
      </c>
      <c r="F40" s="200" t="s">
        <v>142</v>
      </c>
      <c r="G40" s="200" t="s">
        <v>142</v>
      </c>
      <c r="H40" s="200" t="s">
        <v>142</v>
      </c>
      <c r="I40" s="200" t="s">
        <v>142</v>
      </c>
      <c r="J40" s="200" t="s">
        <v>142</v>
      </c>
      <c r="K40" s="200" t="s">
        <v>142</v>
      </c>
      <c r="L40" s="200" t="s">
        <v>142</v>
      </c>
    </row>
    <row r="41" spans="2:12" x14ac:dyDescent="0.3">
      <c r="B41" s="297" t="s">
        <v>54</v>
      </c>
      <c r="C41" s="254">
        <v>26516</v>
      </c>
      <c r="D41" s="254">
        <v>25504</v>
      </c>
      <c r="E41" s="231" t="s">
        <v>142</v>
      </c>
      <c r="F41" s="231" t="s">
        <v>142</v>
      </c>
      <c r="G41" s="231" t="s">
        <v>142</v>
      </c>
      <c r="H41" s="231" t="s">
        <v>142</v>
      </c>
      <c r="I41" s="231" t="s">
        <v>142</v>
      </c>
      <c r="J41" s="231" t="s">
        <v>142</v>
      </c>
      <c r="K41" s="231" t="s">
        <v>142</v>
      </c>
      <c r="L41" s="231" t="s">
        <v>142</v>
      </c>
    </row>
    <row r="42" spans="2:12" x14ac:dyDescent="0.3">
      <c r="B42" s="297" t="s">
        <v>55</v>
      </c>
      <c r="C42" s="254">
        <v>9019</v>
      </c>
      <c r="D42" s="254">
        <v>14573</v>
      </c>
      <c r="E42" s="231" t="s">
        <v>142</v>
      </c>
      <c r="F42" s="231" t="s">
        <v>142</v>
      </c>
      <c r="G42" s="231" t="s">
        <v>142</v>
      </c>
      <c r="H42" s="231" t="s">
        <v>142</v>
      </c>
      <c r="I42" s="231" t="s">
        <v>142</v>
      </c>
      <c r="J42" s="231" t="s">
        <v>142</v>
      </c>
      <c r="K42" s="231" t="s">
        <v>142</v>
      </c>
      <c r="L42" s="231" t="s">
        <v>142</v>
      </c>
    </row>
    <row r="43" spans="2:12" x14ac:dyDescent="0.3">
      <c r="B43" s="297" t="s">
        <v>56</v>
      </c>
      <c r="C43" s="254">
        <v>3965</v>
      </c>
      <c r="D43" s="254">
        <v>3702</v>
      </c>
      <c r="E43" s="231" t="s">
        <v>142</v>
      </c>
      <c r="F43" s="231" t="s">
        <v>142</v>
      </c>
      <c r="G43" s="231" t="s">
        <v>142</v>
      </c>
      <c r="H43" s="231" t="s">
        <v>142</v>
      </c>
      <c r="I43" s="231" t="s">
        <v>142</v>
      </c>
      <c r="J43" s="231" t="s">
        <v>142</v>
      </c>
      <c r="K43" s="231" t="s">
        <v>142</v>
      </c>
      <c r="L43" s="231" t="s">
        <v>142</v>
      </c>
    </row>
    <row r="44" spans="2:12" x14ac:dyDescent="0.3">
      <c r="B44" s="297" t="s">
        <v>57</v>
      </c>
      <c r="C44" s="254">
        <v>5441</v>
      </c>
      <c r="D44" s="254">
        <v>5935</v>
      </c>
      <c r="E44" s="231" t="s">
        <v>142</v>
      </c>
      <c r="F44" s="231" t="s">
        <v>142</v>
      </c>
      <c r="G44" s="231" t="s">
        <v>142</v>
      </c>
      <c r="H44" s="231" t="s">
        <v>142</v>
      </c>
      <c r="I44" s="231" t="s">
        <v>142</v>
      </c>
      <c r="J44" s="231" t="s">
        <v>142</v>
      </c>
      <c r="K44" s="231" t="s">
        <v>142</v>
      </c>
      <c r="L44" s="231" t="s">
        <v>142</v>
      </c>
    </row>
    <row r="45" spans="2:12" ht="15" thickBot="1" x14ac:dyDescent="0.35">
      <c r="B45" s="78" t="s">
        <v>58</v>
      </c>
      <c r="C45" s="13">
        <v>2091</v>
      </c>
      <c r="D45" s="13">
        <v>1420</v>
      </c>
      <c r="E45" s="76" t="s">
        <v>142</v>
      </c>
      <c r="F45" s="76" t="s">
        <v>142</v>
      </c>
      <c r="G45" s="76" t="s">
        <v>142</v>
      </c>
      <c r="H45" s="76" t="s">
        <v>142</v>
      </c>
      <c r="I45" s="76" t="s">
        <v>142</v>
      </c>
      <c r="J45" s="76" t="s">
        <v>142</v>
      </c>
      <c r="K45" s="76" t="s">
        <v>142</v>
      </c>
      <c r="L45" s="76" t="s">
        <v>142</v>
      </c>
    </row>
    <row r="46" spans="2:12" ht="15" thickBot="1" x14ac:dyDescent="0.35">
      <c r="B46" s="199" t="s">
        <v>149</v>
      </c>
      <c r="C46" s="201">
        <f t="shared" ref="C46:K46" si="11">+SUM(C47:C51)</f>
        <v>212669</v>
      </c>
      <c r="D46" s="201">
        <f t="shared" si="11"/>
        <v>186248</v>
      </c>
      <c r="E46" s="201">
        <f t="shared" si="11"/>
        <v>165207</v>
      </c>
      <c r="F46" s="201">
        <f t="shared" si="11"/>
        <v>164219</v>
      </c>
      <c r="G46" s="201">
        <f t="shared" si="11"/>
        <v>156772</v>
      </c>
      <c r="H46" s="201">
        <f t="shared" si="11"/>
        <v>147032</v>
      </c>
      <c r="I46" s="201">
        <f t="shared" si="11"/>
        <v>155186</v>
      </c>
      <c r="J46" s="201">
        <f t="shared" si="11"/>
        <v>141755</v>
      </c>
      <c r="K46" s="201">
        <f t="shared" si="11"/>
        <v>145113</v>
      </c>
      <c r="L46" s="77" t="s">
        <v>135</v>
      </c>
    </row>
    <row r="47" spans="2:12" x14ac:dyDescent="0.3">
      <c r="B47" s="297" t="s">
        <v>54</v>
      </c>
      <c r="C47" s="254">
        <v>104457</v>
      </c>
      <c r="D47" s="254">
        <v>95570</v>
      </c>
      <c r="E47" s="254">
        <v>83296</v>
      </c>
      <c r="F47" s="254">
        <v>78821</v>
      </c>
      <c r="G47" s="231">
        <v>77061</v>
      </c>
      <c r="H47" s="231">
        <v>72545</v>
      </c>
      <c r="I47" s="231">
        <v>83326</v>
      </c>
      <c r="J47" s="231">
        <v>72984</v>
      </c>
      <c r="K47" s="231">
        <v>78621</v>
      </c>
      <c r="L47" s="231" t="s">
        <v>135</v>
      </c>
    </row>
    <row r="48" spans="2:12" x14ac:dyDescent="0.3">
      <c r="B48" s="297" t="s">
        <v>55</v>
      </c>
      <c r="C48" s="254">
        <v>45370</v>
      </c>
      <c r="D48" s="254">
        <v>35098</v>
      </c>
      <c r="E48" s="254">
        <v>33708</v>
      </c>
      <c r="F48" s="254">
        <v>42297</v>
      </c>
      <c r="G48" s="231">
        <v>42218</v>
      </c>
      <c r="H48" s="231">
        <v>38465</v>
      </c>
      <c r="I48" s="231">
        <v>38221</v>
      </c>
      <c r="J48" s="231">
        <v>33097</v>
      </c>
      <c r="K48" s="231">
        <v>30206</v>
      </c>
      <c r="L48" s="231" t="s">
        <v>135</v>
      </c>
    </row>
    <row r="49" spans="2:12" x14ac:dyDescent="0.3">
      <c r="B49" s="297" t="s">
        <v>56</v>
      </c>
      <c r="C49" s="254">
        <v>22816</v>
      </c>
      <c r="D49" s="254">
        <v>20614</v>
      </c>
      <c r="E49" s="254">
        <v>16377</v>
      </c>
      <c r="F49" s="254">
        <v>17590</v>
      </c>
      <c r="G49" s="231">
        <v>15731</v>
      </c>
      <c r="H49" s="231">
        <v>14986</v>
      </c>
      <c r="I49" s="231">
        <v>14906</v>
      </c>
      <c r="J49" s="231">
        <v>13911</v>
      </c>
      <c r="K49" s="231">
        <v>15223</v>
      </c>
      <c r="L49" s="231" t="s">
        <v>135</v>
      </c>
    </row>
    <row r="50" spans="2:12" x14ac:dyDescent="0.3">
      <c r="B50" s="297" t="s">
        <v>57</v>
      </c>
      <c r="C50" s="254">
        <v>28250</v>
      </c>
      <c r="D50" s="254">
        <v>27805</v>
      </c>
      <c r="E50" s="254">
        <v>24904</v>
      </c>
      <c r="F50" s="254">
        <v>17921</v>
      </c>
      <c r="G50" s="231">
        <v>14303</v>
      </c>
      <c r="H50" s="231">
        <v>13736</v>
      </c>
      <c r="I50" s="231">
        <v>10781</v>
      </c>
      <c r="J50" s="231">
        <v>11763</v>
      </c>
      <c r="K50" s="231">
        <v>13603</v>
      </c>
      <c r="L50" s="231" t="s">
        <v>135</v>
      </c>
    </row>
    <row r="51" spans="2:12" ht="15" thickBot="1" x14ac:dyDescent="0.35">
      <c r="B51" s="78" t="s">
        <v>58</v>
      </c>
      <c r="C51" s="13">
        <v>11776</v>
      </c>
      <c r="D51" s="13">
        <v>7161</v>
      </c>
      <c r="E51" s="13">
        <v>6922</v>
      </c>
      <c r="F51" s="13">
        <v>7590</v>
      </c>
      <c r="G51" s="76">
        <v>7459</v>
      </c>
      <c r="H51" s="76">
        <v>7300</v>
      </c>
      <c r="I51" s="76">
        <v>7952</v>
      </c>
      <c r="J51" s="76">
        <v>10000</v>
      </c>
      <c r="K51" s="76">
        <v>7460</v>
      </c>
      <c r="L51" s="76" t="s">
        <v>135</v>
      </c>
    </row>
    <row r="52" spans="2:12" ht="15" thickBot="1" x14ac:dyDescent="0.35">
      <c r="B52" s="75" t="s">
        <v>150</v>
      </c>
      <c r="C52" s="30">
        <f t="shared" ref="C52:D52" si="12">+SUM(C26,C39)</f>
        <v>259701</v>
      </c>
      <c r="D52" s="30">
        <f t="shared" si="12"/>
        <v>237382</v>
      </c>
      <c r="E52" s="30">
        <f>+SUM(E26,E39)</f>
        <v>339852</v>
      </c>
      <c r="F52" s="30">
        <f t="shared" ref="F52:L52" si="13">+SUM(F26,F39)</f>
        <v>362328</v>
      </c>
      <c r="G52" s="30">
        <f t="shared" si="13"/>
        <v>368968</v>
      </c>
      <c r="H52" s="30">
        <f t="shared" si="13"/>
        <v>366959</v>
      </c>
      <c r="I52" s="30">
        <f t="shared" si="13"/>
        <v>377468</v>
      </c>
      <c r="J52" s="30">
        <f t="shared" si="13"/>
        <v>361243</v>
      </c>
      <c r="K52" s="30">
        <f t="shared" si="13"/>
        <v>372998</v>
      </c>
      <c r="L52" s="30">
        <f t="shared" si="13"/>
        <v>216640</v>
      </c>
    </row>
    <row r="55" spans="2:12" x14ac:dyDescent="0.3">
      <c r="K55" s="112"/>
      <c r="L55" s="112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1" max="9" man="1"/>
  </rowBreaks>
  <ignoredErrors>
    <ignoredError sqref="K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B2:L125"/>
  <sheetViews>
    <sheetView zoomScaleNormal="100" workbookViewId="0"/>
  </sheetViews>
  <sheetFormatPr defaultColWidth="9.109375" defaultRowHeight="14.4" x14ac:dyDescent="0.3"/>
  <cols>
    <col min="1" max="1" width="9.109375" style="7"/>
    <col min="2" max="2" width="58.6640625" style="102" customWidth="1"/>
    <col min="3" max="12" width="11.6640625" style="7" customWidth="1"/>
    <col min="13" max="16384" width="9.109375" style="7"/>
  </cols>
  <sheetData>
    <row r="2" spans="2:12" ht="17.399999999999999" x14ac:dyDescent="0.35">
      <c r="B2" s="158" t="s">
        <v>151</v>
      </c>
      <c r="C2" s="34"/>
      <c r="D2" s="34"/>
    </row>
    <row r="5" spans="2:12" x14ac:dyDescent="0.3">
      <c r="B5" s="22" t="s">
        <v>152</v>
      </c>
      <c r="C5" s="118"/>
      <c r="D5" s="118"/>
      <c r="E5" s="118"/>
      <c r="F5" s="118"/>
      <c r="G5" s="79"/>
      <c r="H5" s="79"/>
    </row>
    <row r="6" spans="2:12" x14ac:dyDescent="0.3">
      <c r="B6" s="92"/>
      <c r="C6" s="118"/>
      <c r="D6" s="118"/>
      <c r="E6" s="118"/>
      <c r="F6" s="118"/>
      <c r="G6" s="79"/>
      <c r="H6" s="79"/>
    </row>
    <row r="7" spans="2:12" ht="15" thickBot="1" x14ac:dyDescent="0.35">
      <c r="B7" s="93"/>
      <c r="C7" s="94">
        <v>2010</v>
      </c>
      <c r="D7" s="94">
        <v>2011</v>
      </c>
      <c r="E7" s="94">
        <v>2012</v>
      </c>
      <c r="F7" s="94">
        <v>2013</v>
      </c>
      <c r="G7" s="94">
        <v>2014</v>
      </c>
      <c r="H7" s="94">
        <v>2015</v>
      </c>
      <c r="I7" s="94">
        <v>2016</v>
      </c>
      <c r="J7" s="94">
        <v>2017</v>
      </c>
      <c r="K7" s="94">
        <v>2018</v>
      </c>
      <c r="L7" s="94">
        <v>2019</v>
      </c>
    </row>
    <row r="8" spans="2:12" x14ac:dyDescent="0.3">
      <c r="B8" s="95" t="s">
        <v>153</v>
      </c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2:12" x14ac:dyDescent="0.3">
      <c r="B9" s="253" t="s">
        <v>33</v>
      </c>
      <c r="C9" s="254">
        <f>'Pàg. 2'!C11/C19</f>
        <v>9820.105882352942</v>
      </c>
      <c r="D9" s="254">
        <f>'Pàg. 2'!D11/D19</f>
        <v>9855.7098039215689</v>
      </c>
      <c r="E9" s="254">
        <f>'Pàg. 2'!E11/E19</f>
        <v>9895.552941176471</v>
      </c>
      <c r="F9" s="254">
        <f>'Pàg. 2'!F11/F19</f>
        <v>9874.0522875816987</v>
      </c>
      <c r="G9" s="254">
        <f>'Pàg. 2'!G11/G19</f>
        <v>9828.6313725490199</v>
      </c>
      <c r="H9" s="254">
        <f>'Pàg. 2'!H11/H19</f>
        <v>9269.2666666666664</v>
      </c>
      <c r="I9" s="254">
        <f>'Pàg. 2'!I11/I19</f>
        <v>9287.1555555555551</v>
      </c>
      <c r="J9" s="254">
        <f>'Pàg. 2'!J11/J19</f>
        <v>9293.7638376383766</v>
      </c>
      <c r="K9" s="254">
        <f>'Pàg. 2'!K11/K19</f>
        <v>9234.5868772782505</v>
      </c>
      <c r="L9" s="254">
        <f>IFERROR('Pàg. 2'!L11/L19,"-")</f>
        <v>9225.0204326923085</v>
      </c>
    </row>
    <row r="10" spans="2:12" ht="15" thickBot="1" x14ac:dyDescent="0.35">
      <c r="B10" s="32" t="s">
        <v>34</v>
      </c>
      <c r="C10" s="305">
        <f>IFERROR(Pàg.5!C19/'Pàg. 2'!C11*100000,"-")</f>
        <v>10.183189590623799</v>
      </c>
      <c r="D10" s="305">
        <f>IFERROR(Pàg.5!D19/'Pàg. 2'!D11*100000,"-")</f>
        <v>10.146402642680306</v>
      </c>
      <c r="E10" s="305">
        <f>IFERROR(Pàg.5!E19/'Pàg. 2'!E11*100000,"-")</f>
        <v>10.10554949222586</v>
      </c>
      <c r="F10" s="305">
        <f>IFERROR(Pàg.5!F19/'Pàg. 2'!F11*100000,"-")</f>
        <v>10.12755422875034</v>
      </c>
      <c r="G10" s="305">
        <f>IFERROR(Pàg.5!G19/'Pàg. 2'!G11*100000,"-")</f>
        <v>10.174356551746977</v>
      </c>
      <c r="H10" s="305">
        <f>IFERROR(Pàg.5!H19/'Pàg. 2'!H11*100000,"-")</f>
        <v>10.788339962168887</v>
      </c>
      <c r="I10" s="305">
        <f>IFERROR(Pàg.5!I19/'Pàg. 2'!I11*100000,"-")</f>
        <v>10.767559496748197</v>
      </c>
      <c r="J10" s="305">
        <f>IFERROR(Pàg.5!J19/'Pàg. 2'!J11*100000,"-")</f>
        <v>10.759903279983801</v>
      </c>
      <c r="K10" s="305">
        <f>IFERROR(Pàg.5!K19/'Pàg. 2'!K11*100000,"-")</f>
        <v>10.828854753215927</v>
      </c>
      <c r="L10" s="305">
        <f>IFERROR(Pàg.5!L19/'Pàg. 2'!L11*100000,"-")</f>
        <v>10.8400843910993</v>
      </c>
    </row>
    <row r="11" spans="2:12" x14ac:dyDescent="0.3">
      <c r="B11" s="97" t="s">
        <v>154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2:12" x14ac:dyDescent="0.3">
      <c r="B12" s="253" t="s">
        <v>155</v>
      </c>
      <c r="C12" s="120">
        <f>C77/'Pàg. 2'!C11</f>
        <v>66.468034370195028</v>
      </c>
      <c r="D12" s="120">
        <f>D77/'Pàg. 2'!D11</f>
        <v>65.513401243935704</v>
      </c>
      <c r="E12" s="120">
        <f>E77/'Pàg. 2'!E11</f>
        <v>62.696591275304506</v>
      </c>
      <c r="F12" s="120">
        <f>F77/'Pàg. 2'!F11</f>
        <v>55.582412227201431</v>
      </c>
      <c r="G12" s="120">
        <f>G77/'Pàg. 2'!G11</f>
        <v>53.868965176169972</v>
      </c>
      <c r="H12" s="120">
        <f>H77/'Pàg. 2'!H11</f>
        <v>57.167721713039221</v>
      </c>
      <c r="I12" s="120">
        <f>I77/'Pàg. 2'!I11</f>
        <v>65.749767180106446</v>
      </c>
      <c r="J12" s="120">
        <f>J77/'Pàg. 2'!J11</f>
        <v>65.319230316192929</v>
      </c>
      <c r="K12" s="120">
        <f>K77/'Pàg. 2'!K11</f>
        <v>65.436414030669468</v>
      </c>
      <c r="L12" s="120">
        <f>IFERROR(L77/'Pàg. 2'!L11,"-")</f>
        <v>66.937500289568334</v>
      </c>
    </row>
    <row r="13" spans="2:12" ht="15" thickBot="1" x14ac:dyDescent="0.35">
      <c r="B13" s="253" t="s">
        <v>156</v>
      </c>
      <c r="C13" s="215">
        <f>+C121/'Pàg. 2'!C11</f>
        <v>8.9489588840076131</v>
      </c>
      <c r="D13" s="215">
        <f>+D121/'Pàg. 2'!D11</f>
        <v>8.6804577035600463</v>
      </c>
      <c r="E13" s="215">
        <f>+E121/'Pàg. 2'!E11</f>
        <v>7.9290182438853511</v>
      </c>
      <c r="F13" s="215">
        <f>+F121/'Pàg. 2'!F11</f>
        <v>7.9939556307215733</v>
      </c>
      <c r="G13" s="215">
        <f>+G121/'Pàg. 2'!G11</f>
        <v>8.0788348486474693</v>
      </c>
      <c r="H13" s="215">
        <f>+H121/'Pàg. 2'!H11</f>
        <v>7.8581012921234734</v>
      </c>
      <c r="I13" s="215">
        <f>+I121/'Pàg. 2'!I11</f>
        <v>8.0919373445018188</v>
      </c>
      <c r="J13" s="215">
        <f>+J121/'Pàg. 2'!J11</f>
        <v>8.2675880743743573</v>
      </c>
      <c r="K13" s="215">
        <f>+K121/'Pàg. 2'!K11</f>
        <v>8.4650274109497747</v>
      </c>
      <c r="L13" s="215">
        <f>IFERROR(+L121/'Pàg. 2'!L11,"-")</f>
        <v>8.5500390373327555</v>
      </c>
    </row>
    <row r="14" spans="2:12" x14ac:dyDescent="0.3">
      <c r="B14" s="100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6" spans="2:12" x14ac:dyDescent="0.3">
      <c r="B16" s="22" t="s">
        <v>157</v>
      </c>
      <c r="C16" s="118"/>
      <c r="D16" s="118"/>
      <c r="E16" s="118"/>
      <c r="F16" s="118"/>
      <c r="G16" s="79"/>
      <c r="H16" s="79"/>
    </row>
    <row r="17" spans="2:12" x14ac:dyDescent="0.3">
      <c r="B17" s="92"/>
      <c r="C17" s="118"/>
      <c r="D17" s="118"/>
      <c r="E17" s="118"/>
      <c r="F17" s="118"/>
      <c r="G17" s="79"/>
      <c r="H17" s="79"/>
    </row>
    <row r="18" spans="2:12" ht="15" thickBot="1" x14ac:dyDescent="0.35">
      <c r="B18" s="93"/>
      <c r="C18" s="94">
        <f t="shared" ref="C18:K18" si="0">C$7</f>
        <v>2010</v>
      </c>
      <c r="D18" s="94">
        <f t="shared" si="0"/>
        <v>2011</v>
      </c>
      <c r="E18" s="94">
        <f t="shared" si="0"/>
        <v>2012</v>
      </c>
      <c r="F18" s="94">
        <f t="shared" si="0"/>
        <v>2013</v>
      </c>
      <c r="G18" s="94">
        <f t="shared" si="0"/>
        <v>2014</v>
      </c>
      <c r="H18" s="94">
        <f t="shared" si="0"/>
        <v>2015</v>
      </c>
      <c r="I18" s="94">
        <f t="shared" si="0"/>
        <v>2016</v>
      </c>
      <c r="J18" s="94">
        <f t="shared" si="0"/>
        <v>2017</v>
      </c>
      <c r="K18" s="94">
        <f t="shared" si="0"/>
        <v>2018</v>
      </c>
      <c r="L18" s="94">
        <v>2019</v>
      </c>
    </row>
    <row r="19" spans="2:12" x14ac:dyDescent="0.3">
      <c r="B19" s="122" t="s">
        <v>158</v>
      </c>
      <c r="C19" s="23">
        <f t="shared" ref="C19:K19" si="1">SUM(C20:C21)</f>
        <v>765</v>
      </c>
      <c r="D19" s="23">
        <f t="shared" si="1"/>
        <v>765</v>
      </c>
      <c r="E19" s="23">
        <f t="shared" si="1"/>
        <v>765</v>
      </c>
      <c r="F19" s="23">
        <f t="shared" si="1"/>
        <v>765</v>
      </c>
      <c r="G19" s="23">
        <f t="shared" si="1"/>
        <v>765</v>
      </c>
      <c r="H19" s="23">
        <f t="shared" si="1"/>
        <v>810</v>
      </c>
      <c r="I19" s="23">
        <f t="shared" si="1"/>
        <v>810</v>
      </c>
      <c r="J19" s="23">
        <f t="shared" si="1"/>
        <v>813</v>
      </c>
      <c r="K19" s="23">
        <f t="shared" si="1"/>
        <v>823</v>
      </c>
      <c r="L19" s="23">
        <f t="shared" ref="L19" si="2">SUM(L20:L21)</f>
        <v>832</v>
      </c>
    </row>
    <row r="20" spans="2:12" x14ac:dyDescent="0.3">
      <c r="B20" s="253" t="s">
        <v>159</v>
      </c>
      <c r="C20" s="216">
        <v>685</v>
      </c>
      <c r="D20" s="216">
        <v>685</v>
      </c>
      <c r="E20" s="216">
        <v>685</v>
      </c>
      <c r="F20" s="216">
        <v>685</v>
      </c>
      <c r="G20" s="216">
        <v>685</v>
      </c>
      <c r="H20" s="216">
        <v>730</v>
      </c>
      <c r="I20" s="216">
        <v>730</v>
      </c>
      <c r="J20" s="216">
        <v>733</v>
      </c>
      <c r="K20" s="216">
        <v>743</v>
      </c>
      <c r="L20" s="216">
        <v>752</v>
      </c>
    </row>
    <row r="21" spans="2:12" ht="15" thickBot="1" x14ac:dyDescent="0.35">
      <c r="B21" s="253" t="s">
        <v>160</v>
      </c>
      <c r="C21" s="216">
        <v>80</v>
      </c>
      <c r="D21" s="216">
        <v>80</v>
      </c>
      <c r="E21" s="216">
        <v>80</v>
      </c>
      <c r="F21" s="216">
        <v>80</v>
      </c>
      <c r="G21" s="216">
        <v>80</v>
      </c>
      <c r="H21" s="216">
        <v>80</v>
      </c>
      <c r="I21" s="216">
        <v>80</v>
      </c>
      <c r="J21" s="216">
        <v>80</v>
      </c>
      <c r="K21" s="216">
        <v>80</v>
      </c>
      <c r="L21" s="216">
        <v>80</v>
      </c>
    </row>
    <row r="22" spans="2:12" x14ac:dyDescent="0.3">
      <c r="B22" s="122" t="s">
        <v>161</v>
      </c>
      <c r="C22" s="23">
        <f t="shared" ref="C22:K22" si="3">SUM(C23:C29)</f>
        <v>1006</v>
      </c>
      <c r="D22" s="23">
        <f t="shared" si="3"/>
        <v>1006</v>
      </c>
      <c r="E22" s="23">
        <f t="shared" si="3"/>
        <v>1006</v>
      </c>
      <c r="F22" s="23">
        <f t="shared" si="3"/>
        <v>1006</v>
      </c>
      <c r="G22" s="23">
        <f t="shared" si="3"/>
        <v>1006</v>
      </c>
      <c r="H22" s="23">
        <f t="shared" si="3"/>
        <v>1018</v>
      </c>
      <c r="I22" s="23">
        <f t="shared" si="3"/>
        <v>1020</v>
      </c>
      <c r="J22" s="23">
        <f t="shared" si="3"/>
        <v>1027</v>
      </c>
      <c r="K22" s="23">
        <f t="shared" si="3"/>
        <v>1037</v>
      </c>
      <c r="L22" s="23">
        <f t="shared" ref="L22" si="4">SUM(L23:L29)</f>
        <v>1054</v>
      </c>
    </row>
    <row r="23" spans="2:12" x14ac:dyDescent="0.3">
      <c r="B23" s="253" t="s">
        <v>162</v>
      </c>
      <c r="C23" s="216">
        <v>631</v>
      </c>
      <c r="D23" s="216">
        <v>631</v>
      </c>
      <c r="E23" s="216">
        <v>631</v>
      </c>
      <c r="F23" s="216">
        <v>631</v>
      </c>
      <c r="G23" s="216">
        <v>631</v>
      </c>
      <c r="H23" s="216">
        <v>632</v>
      </c>
      <c r="I23" s="216">
        <v>634</v>
      </c>
      <c r="J23" s="216">
        <v>641</v>
      </c>
      <c r="K23" s="216">
        <v>651</v>
      </c>
      <c r="L23" s="216">
        <v>657</v>
      </c>
    </row>
    <row r="24" spans="2:12" x14ac:dyDescent="0.3">
      <c r="B24" s="253" t="s">
        <v>163</v>
      </c>
      <c r="C24" s="216">
        <v>1</v>
      </c>
      <c r="D24" s="216">
        <v>1</v>
      </c>
      <c r="E24" s="216">
        <v>1</v>
      </c>
      <c r="F24" s="216">
        <v>1</v>
      </c>
      <c r="G24" s="216">
        <v>1</v>
      </c>
      <c r="H24" s="216">
        <v>1</v>
      </c>
      <c r="I24" s="216">
        <v>1</v>
      </c>
      <c r="J24" s="216">
        <v>1</v>
      </c>
      <c r="K24" s="216">
        <v>1</v>
      </c>
      <c r="L24" s="216">
        <v>1</v>
      </c>
    </row>
    <row r="25" spans="2:12" x14ac:dyDescent="0.3">
      <c r="B25" s="253" t="s">
        <v>164</v>
      </c>
      <c r="C25" s="216">
        <v>4</v>
      </c>
      <c r="D25" s="216">
        <v>4</v>
      </c>
      <c r="E25" s="216">
        <v>4</v>
      </c>
      <c r="F25" s="216">
        <v>4</v>
      </c>
      <c r="G25" s="216">
        <v>4</v>
      </c>
      <c r="H25" s="216">
        <v>4</v>
      </c>
      <c r="I25" s="216">
        <v>4</v>
      </c>
      <c r="J25" s="216">
        <v>4</v>
      </c>
      <c r="K25" s="216">
        <v>4</v>
      </c>
      <c r="L25" s="216">
        <v>4</v>
      </c>
    </row>
    <row r="26" spans="2:12" x14ac:dyDescent="0.3">
      <c r="B26" s="253" t="s">
        <v>165</v>
      </c>
      <c r="C26" s="216">
        <v>5</v>
      </c>
      <c r="D26" s="216">
        <v>5</v>
      </c>
      <c r="E26" s="216">
        <v>5</v>
      </c>
      <c r="F26" s="216">
        <v>5</v>
      </c>
      <c r="G26" s="216">
        <v>5</v>
      </c>
      <c r="H26" s="216">
        <v>5</v>
      </c>
      <c r="I26" s="216">
        <v>5</v>
      </c>
      <c r="J26" s="216">
        <v>5</v>
      </c>
      <c r="K26" s="216">
        <v>5</v>
      </c>
      <c r="L26" s="216">
        <v>5</v>
      </c>
    </row>
    <row r="27" spans="2:12" x14ac:dyDescent="0.3">
      <c r="B27" s="253" t="s">
        <v>166</v>
      </c>
      <c r="C27" s="216">
        <v>6</v>
      </c>
      <c r="D27" s="216">
        <v>6</v>
      </c>
      <c r="E27" s="216">
        <v>6</v>
      </c>
      <c r="F27" s="216">
        <v>6</v>
      </c>
      <c r="G27" s="216">
        <v>6</v>
      </c>
      <c r="H27" s="216">
        <v>6</v>
      </c>
      <c r="I27" s="216">
        <v>6</v>
      </c>
      <c r="J27" s="216">
        <v>6</v>
      </c>
      <c r="K27" s="216">
        <v>6</v>
      </c>
      <c r="L27" s="216">
        <v>6</v>
      </c>
    </row>
    <row r="28" spans="2:12" x14ac:dyDescent="0.3">
      <c r="B28" s="253" t="s">
        <v>167</v>
      </c>
      <c r="C28" s="216">
        <v>273</v>
      </c>
      <c r="D28" s="216">
        <v>273</v>
      </c>
      <c r="E28" s="216">
        <v>273</v>
      </c>
      <c r="F28" s="216">
        <v>273</v>
      </c>
      <c r="G28" s="216">
        <v>273</v>
      </c>
      <c r="H28" s="216">
        <v>281</v>
      </c>
      <c r="I28" s="216">
        <v>281</v>
      </c>
      <c r="J28" s="216">
        <v>281</v>
      </c>
      <c r="K28" s="216">
        <v>281</v>
      </c>
      <c r="L28" s="216">
        <v>290</v>
      </c>
    </row>
    <row r="29" spans="2:12" ht="15" thickBot="1" x14ac:dyDescent="0.35">
      <c r="B29" s="253" t="s">
        <v>168</v>
      </c>
      <c r="C29" s="216">
        <v>86</v>
      </c>
      <c r="D29" s="216">
        <v>86</v>
      </c>
      <c r="E29" s="216">
        <v>86</v>
      </c>
      <c r="F29" s="216">
        <v>86</v>
      </c>
      <c r="G29" s="216">
        <v>86</v>
      </c>
      <c r="H29" s="216">
        <v>89</v>
      </c>
      <c r="I29" s="216">
        <v>89</v>
      </c>
      <c r="J29" s="216">
        <v>89</v>
      </c>
      <c r="K29" s="216">
        <v>89</v>
      </c>
      <c r="L29" s="216">
        <v>91</v>
      </c>
    </row>
    <row r="30" spans="2:12" x14ac:dyDescent="0.3">
      <c r="B30" s="122" t="s">
        <v>169</v>
      </c>
      <c r="C30" s="23">
        <f t="shared" ref="C30:L30" si="5">SUM(C31:C35)</f>
        <v>7387</v>
      </c>
      <c r="D30" s="23">
        <f t="shared" si="5"/>
        <v>7260</v>
      </c>
      <c r="E30" s="23">
        <f t="shared" si="5"/>
        <v>7276</v>
      </c>
      <c r="F30" s="23">
        <f t="shared" si="5"/>
        <v>7274</v>
      </c>
      <c r="G30" s="23">
        <f t="shared" si="5"/>
        <v>7278</v>
      </c>
      <c r="H30" s="23">
        <f t="shared" si="5"/>
        <v>7297</v>
      </c>
      <c r="I30" s="23">
        <f t="shared" si="5"/>
        <v>7312</v>
      </c>
      <c r="J30" s="23">
        <f t="shared" si="5"/>
        <v>7306</v>
      </c>
      <c r="K30" s="23">
        <f t="shared" si="5"/>
        <v>7428</v>
      </c>
      <c r="L30" s="23">
        <f t="shared" si="5"/>
        <v>7461</v>
      </c>
    </row>
    <row r="31" spans="2:12" x14ac:dyDescent="0.3">
      <c r="B31" s="253" t="s">
        <v>170</v>
      </c>
      <c r="C31" s="216">
        <v>152</v>
      </c>
      <c r="D31" s="216">
        <v>152</v>
      </c>
      <c r="E31" s="216">
        <v>152</v>
      </c>
      <c r="F31" s="216">
        <v>152</v>
      </c>
      <c r="G31" s="216">
        <v>152</v>
      </c>
      <c r="H31" s="216">
        <v>152</v>
      </c>
      <c r="I31" s="216">
        <v>152</v>
      </c>
      <c r="J31" s="216">
        <v>157</v>
      </c>
      <c r="K31" s="216">
        <v>157</v>
      </c>
      <c r="L31" s="216">
        <v>157</v>
      </c>
    </row>
    <row r="32" spans="2:12" x14ac:dyDescent="0.3">
      <c r="B32" s="253" t="s">
        <v>171</v>
      </c>
      <c r="C32" s="216">
        <v>2162</v>
      </c>
      <c r="D32" s="216">
        <v>2084</v>
      </c>
      <c r="E32" s="216">
        <v>2090</v>
      </c>
      <c r="F32" s="216">
        <v>2089</v>
      </c>
      <c r="G32" s="216">
        <v>2091</v>
      </c>
      <c r="H32" s="216">
        <v>2101</v>
      </c>
      <c r="I32" s="216">
        <v>2106</v>
      </c>
      <c r="J32" s="216">
        <v>2112</v>
      </c>
      <c r="K32" s="216">
        <v>2153</v>
      </c>
      <c r="L32" s="216">
        <v>2162</v>
      </c>
    </row>
    <row r="33" spans="2:12" x14ac:dyDescent="0.3">
      <c r="B33" s="253" t="s">
        <v>172</v>
      </c>
      <c r="C33" s="216">
        <v>3363</v>
      </c>
      <c r="D33" s="216">
        <v>3321</v>
      </c>
      <c r="E33" s="216">
        <v>3318</v>
      </c>
      <c r="F33" s="216">
        <v>3317</v>
      </c>
      <c r="G33" s="216">
        <v>3319</v>
      </c>
      <c r="H33" s="216">
        <v>3326</v>
      </c>
      <c r="I33" s="216">
        <v>3335</v>
      </c>
      <c r="J33" s="216">
        <v>3307</v>
      </c>
      <c r="K33" s="216">
        <v>3370</v>
      </c>
      <c r="L33" s="216">
        <v>3388</v>
      </c>
    </row>
    <row r="34" spans="2:12" x14ac:dyDescent="0.3">
      <c r="B34" s="253" t="s">
        <v>173</v>
      </c>
      <c r="C34" s="216">
        <v>1509</v>
      </c>
      <c r="D34" s="216">
        <v>1502</v>
      </c>
      <c r="E34" s="216">
        <v>1503</v>
      </c>
      <c r="F34" s="216">
        <v>1503</v>
      </c>
      <c r="G34" s="216">
        <v>1503</v>
      </c>
      <c r="H34" s="216">
        <v>1505</v>
      </c>
      <c r="I34" s="216">
        <v>1506</v>
      </c>
      <c r="J34" s="216">
        <v>1517</v>
      </c>
      <c r="K34" s="216">
        <v>1535</v>
      </c>
      <c r="L34" s="216">
        <v>1541</v>
      </c>
    </row>
    <row r="35" spans="2:12" ht="15" thickBot="1" x14ac:dyDescent="0.35">
      <c r="B35" s="253" t="s">
        <v>174</v>
      </c>
      <c r="C35" s="217">
        <v>201</v>
      </c>
      <c r="D35" s="217">
        <v>201</v>
      </c>
      <c r="E35" s="217">
        <v>213</v>
      </c>
      <c r="F35" s="217">
        <v>213</v>
      </c>
      <c r="G35" s="217">
        <v>213</v>
      </c>
      <c r="H35" s="217">
        <v>213</v>
      </c>
      <c r="I35" s="217">
        <v>213</v>
      </c>
      <c r="J35" s="217">
        <v>213</v>
      </c>
      <c r="K35" s="217">
        <v>213</v>
      </c>
      <c r="L35" s="217">
        <v>213</v>
      </c>
    </row>
    <row r="36" spans="2:12" ht="15" thickBot="1" x14ac:dyDescent="0.35">
      <c r="B36" s="123" t="s">
        <v>175</v>
      </c>
      <c r="C36" s="124">
        <f t="shared" ref="C36:L36" si="6">SUM(C19,C22,C30)</f>
        <v>9158</v>
      </c>
      <c r="D36" s="124">
        <f t="shared" si="6"/>
        <v>9031</v>
      </c>
      <c r="E36" s="124">
        <f t="shared" si="6"/>
        <v>9047</v>
      </c>
      <c r="F36" s="124">
        <f t="shared" si="6"/>
        <v>9045</v>
      </c>
      <c r="G36" s="124">
        <f t="shared" si="6"/>
        <v>9049</v>
      </c>
      <c r="H36" s="124">
        <f t="shared" si="6"/>
        <v>9125</v>
      </c>
      <c r="I36" s="124">
        <f t="shared" si="6"/>
        <v>9142</v>
      </c>
      <c r="J36" s="124">
        <f t="shared" si="6"/>
        <v>9146</v>
      </c>
      <c r="K36" s="124">
        <f t="shared" si="6"/>
        <v>9288</v>
      </c>
      <c r="L36" s="124">
        <f t="shared" si="6"/>
        <v>9347</v>
      </c>
    </row>
    <row r="37" spans="2:12" x14ac:dyDescent="0.3">
      <c r="B37" s="125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2:12" x14ac:dyDescent="0.3"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2:12" x14ac:dyDescent="0.3">
      <c r="B39" s="22" t="s">
        <v>176</v>
      </c>
      <c r="C39" s="118"/>
      <c r="D39" s="118"/>
      <c r="E39" s="118"/>
      <c r="F39" s="118"/>
      <c r="G39" s="127"/>
      <c r="H39" s="128"/>
    </row>
    <row r="40" spans="2:12" x14ac:dyDescent="0.3">
      <c r="B40" s="92"/>
      <c r="C40" s="118"/>
      <c r="D40" s="118"/>
      <c r="E40" s="118"/>
      <c r="F40" s="118"/>
      <c r="G40" s="127"/>
      <c r="H40" s="128"/>
    </row>
    <row r="41" spans="2:12" ht="29.4" thickBot="1" x14ac:dyDescent="0.35">
      <c r="B41" s="129"/>
      <c r="C41" s="24" t="s">
        <v>54</v>
      </c>
      <c r="D41" s="24" t="s">
        <v>55</v>
      </c>
      <c r="E41" s="24" t="s">
        <v>56</v>
      </c>
      <c r="F41" s="24" t="s">
        <v>57</v>
      </c>
      <c r="G41" s="24" t="s">
        <v>58</v>
      </c>
      <c r="H41" s="24" t="s">
        <v>59</v>
      </c>
    </row>
    <row r="42" spans="2:12" x14ac:dyDescent="0.3">
      <c r="B42" s="122" t="s">
        <v>177</v>
      </c>
      <c r="C42" s="23">
        <f>SUM(C43:C49)</f>
        <v>6080</v>
      </c>
      <c r="D42" s="23">
        <f t="shared" ref="D42:G42" si="7">SUM(D43:D49)</f>
        <v>751</v>
      </c>
      <c r="E42" s="23">
        <f t="shared" si="7"/>
        <v>404</v>
      </c>
      <c r="F42" s="23">
        <f t="shared" si="7"/>
        <v>733</v>
      </c>
      <c r="G42" s="23">
        <f t="shared" si="7"/>
        <v>164</v>
      </c>
      <c r="H42" s="23">
        <f t="shared" ref="H42:H59" si="8">+SUM(C42:G42)</f>
        <v>8132</v>
      </c>
    </row>
    <row r="43" spans="2:12" x14ac:dyDescent="0.3">
      <c r="B43" s="202" t="s">
        <v>159</v>
      </c>
      <c r="C43" s="216">
        <v>598</v>
      </c>
      <c r="D43" s="216">
        <v>52</v>
      </c>
      <c r="E43" s="216">
        <v>30</v>
      </c>
      <c r="F43" s="216">
        <v>69</v>
      </c>
      <c r="G43" s="216">
        <v>3</v>
      </c>
      <c r="H43" s="216">
        <f t="shared" si="8"/>
        <v>752</v>
      </c>
    </row>
    <row r="44" spans="2:12" x14ac:dyDescent="0.3">
      <c r="B44" s="202" t="s">
        <v>178</v>
      </c>
      <c r="C44" s="217">
        <v>35</v>
      </c>
      <c r="D44" s="217">
        <v>21</v>
      </c>
      <c r="E44" s="217">
        <v>10</v>
      </c>
      <c r="F44" s="217">
        <v>4</v>
      </c>
      <c r="G44" s="217">
        <v>10</v>
      </c>
      <c r="H44" s="217">
        <f t="shared" si="8"/>
        <v>80</v>
      </c>
    </row>
    <row r="45" spans="2:12" x14ac:dyDescent="0.3">
      <c r="B45" s="202" t="s">
        <v>162</v>
      </c>
      <c r="C45" s="217">
        <v>480</v>
      </c>
      <c r="D45" s="217">
        <v>64</v>
      </c>
      <c r="E45" s="217">
        <v>37</v>
      </c>
      <c r="F45" s="217">
        <v>62</v>
      </c>
      <c r="G45" s="217">
        <v>14</v>
      </c>
      <c r="H45" s="217">
        <f t="shared" si="8"/>
        <v>657</v>
      </c>
    </row>
    <row r="46" spans="2:12" x14ac:dyDescent="0.3">
      <c r="B46" s="202" t="s">
        <v>171</v>
      </c>
      <c r="C46" s="217">
        <v>1550</v>
      </c>
      <c r="D46" s="217">
        <v>167</v>
      </c>
      <c r="E46" s="217">
        <v>104</v>
      </c>
      <c r="F46" s="217">
        <v>170</v>
      </c>
      <c r="G46" s="217">
        <v>42</v>
      </c>
      <c r="H46" s="217">
        <f t="shared" si="8"/>
        <v>2033</v>
      </c>
    </row>
    <row r="47" spans="2:12" x14ac:dyDescent="0.3">
      <c r="B47" s="202" t="s">
        <v>179</v>
      </c>
      <c r="C47" s="217">
        <v>2320</v>
      </c>
      <c r="D47" s="217">
        <v>294</v>
      </c>
      <c r="E47" s="217">
        <v>142</v>
      </c>
      <c r="F47" s="217">
        <v>282</v>
      </c>
      <c r="G47" s="217">
        <v>59</v>
      </c>
      <c r="H47" s="217">
        <f t="shared" si="8"/>
        <v>3097</v>
      </c>
    </row>
    <row r="48" spans="2:12" x14ac:dyDescent="0.3">
      <c r="B48" s="202" t="s">
        <v>173</v>
      </c>
      <c r="C48" s="217">
        <v>963</v>
      </c>
      <c r="D48" s="217">
        <v>125</v>
      </c>
      <c r="E48" s="217">
        <v>64</v>
      </c>
      <c r="F48" s="217">
        <v>121</v>
      </c>
      <c r="G48" s="217">
        <v>27</v>
      </c>
      <c r="H48" s="217">
        <f t="shared" si="8"/>
        <v>1300</v>
      </c>
    </row>
    <row r="49" spans="2:8" ht="15" thickBot="1" x14ac:dyDescent="0.35">
      <c r="B49" s="202" t="s">
        <v>174</v>
      </c>
      <c r="C49" s="218">
        <v>134</v>
      </c>
      <c r="D49" s="218">
        <v>28</v>
      </c>
      <c r="E49" s="218">
        <v>17</v>
      </c>
      <c r="F49" s="218">
        <v>25</v>
      </c>
      <c r="G49" s="218">
        <v>9</v>
      </c>
      <c r="H49" s="218">
        <f t="shared" si="8"/>
        <v>213</v>
      </c>
    </row>
    <row r="50" spans="2:8" x14ac:dyDescent="0.3">
      <c r="B50" s="122" t="s">
        <v>180</v>
      </c>
      <c r="C50" s="23">
        <f>SUM(C51:C59)</f>
        <v>532</v>
      </c>
      <c r="D50" s="23">
        <f t="shared" ref="D50:G50" si="9">SUM(D51:D59)</f>
        <v>104</v>
      </c>
      <c r="E50" s="23">
        <f t="shared" si="9"/>
        <v>40</v>
      </c>
      <c r="F50" s="23">
        <f t="shared" si="9"/>
        <v>87</v>
      </c>
      <c r="G50" s="23">
        <f t="shared" si="9"/>
        <v>16</v>
      </c>
      <c r="H50" s="23">
        <f t="shared" si="8"/>
        <v>779</v>
      </c>
    </row>
    <row r="51" spans="2:8" x14ac:dyDescent="0.3">
      <c r="B51" s="202" t="s">
        <v>163</v>
      </c>
      <c r="C51" s="216">
        <v>1</v>
      </c>
      <c r="D51" s="216">
        <v>0</v>
      </c>
      <c r="E51" s="216">
        <v>0</v>
      </c>
      <c r="F51" s="216">
        <v>0</v>
      </c>
      <c r="G51" s="216">
        <v>0</v>
      </c>
      <c r="H51" s="216">
        <f t="shared" si="8"/>
        <v>1</v>
      </c>
    </row>
    <row r="52" spans="2:8" x14ac:dyDescent="0.3">
      <c r="B52" s="202" t="s">
        <v>164</v>
      </c>
      <c r="C52" s="216">
        <v>1</v>
      </c>
      <c r="D52" s="216">
        <v>1</v>
      </c>
      <c r="E52" s="216">
        <v>1</v>
      </c>
      <c r="F52" s="216">
        <v>1</v>
      </c>
      <c r="G52" s="216">
        <v>0</v>
      </c>
      <c r="H52" s="216">
        <f t="shared" si="8"/>
        <v>4</v>
      </c>
    </row>
    <row r="53" spans="2:8" x14ac:dyDescent="0.3">
      <c r="B53" s="202" t="s">
        <v>165</v>
      </c>
      <c r="C53" s="216">
        <v>2</v>
      </c>
      <c r="D53" s="216">
        <v>1</v>
      </c>
      <c r="E53" s="216">
        <v>1</v>
      </c>
      <c r="F53" s="216">
        <v>1</v>
      </c>
      <c r="G53" s="216">
        <v>0</v>
      </c>
      <c r="H53" s="216">
        <f t="shared" si="8"/>
        <v>5</v>
      </c>
    </row>
    <row r="54" spans="2:8" x14ac:dyDescent="0.3">
      <c r="B54" s="202" t="s">
        <v>166</v>
      </c>
      <c r="C54" s="216">
        <v>6</v>
      </c>
      <c r="D54" s="216">
        <v>0</v>
      </c>
      <c r="E54" s="216">
        <v>0</v>
      </c>
      <c r="F54" s="216">
        <v>0</v>
      </c>
      <c r="G54" s="216">
        <v>0</v>
      </c>
      <c r="H54" s="216">
        <f t="shared" si="8"/>
        <v>6</v>
      </c>
    </row>
    <row r="55" spans="2:8" x14ac:dyDescent="0.3">
      <c r="B55" s="202" t="s">
        <v>181</v>
      </c>
      <c r="C55" s="216">
        <v>214</v>
      </c>
      <c r="D55" s="216">
        <v>30</v>
      </c>
      <c r="E55" s="216">
        <v>10</v>
      </c>
      <c r="F55" s="216">
        <v>30</v>
      </c>
      <c r="G55" s="216">
        <v>6</v>
      </c>
      <c r="H55" s="216">
        <f t="shared" si="8"/>
        <v>290</v>
      </c>
    </row>
    <row r="56" spans="2:8" x14ac:dyDescent="0.3">
      <c r="B56" s="202" t="s">
        <v>182</v>
      </c>
      <c r="C56" s="216">
        <v>60</v>
      </c>
      <c r="D56" s="216">
        <v>14</v>
      </c>
      <c r="E56" s="216">
        <v>6</v>
      </c>
      <c r="F56" s="216">
        <v>9</v>
      </c>
      <c r="G56" s="216">
        <v>2</v>
      </c>
      <c r="H56" s="216">
        <f t="shared" si="8"/>
        <v>91</v>
      </c>
    </row>
    <row r="57" spans="2:8" x14ac:dyDescent="0.3">
      <c r="B57" s="202" t="s">
        <v>171</v>
      </c>
      <c r="C57" s="217">
        <v>35</v>
      </c>
      <c r="D57" s="217">
        <v>13</v>
      </c>
      <c r="E57" s="217">
        <v>4</v>
      </c>
      <c r="F57" s="217">
        <v>7</v>
      </c>
      <c r="G57" s="217">
        <v>1</v>
      </c>
      <c r="H57" s="217">
        <f t="shared" si="8"/>
        <v>60</v>
      </c>
    </row>
    <row r="58" spans="2:8" x14ac:dyDescent="0.3">
      <c r="B58" s="202" t="s">
        <v>179</v>
      </c>
      <c r="C58" s="217">
        <v>164</v>
      </c>
      <c r="D58" s="217">
        <v>33</v>
      </c>
      <c r="E58" s="217">
        <v>13</v>
      </c>
      <c r="F58" s="217">
        <v>30</v>
      </c>
      <c r="G58" s="217">
        <v>5</v>
      </c>
      <c r="H58" s="217">
        <f t="shared" si="8"/>
        <v>245</v>
      </c>
    </row>
    <row r="59" spans="2:8" ht="15" thickBot="1" x14ac:dyDescent="0.35">
      <c r="B59" s="202" t="s">
        <v>183</v>
      </c>
      <c r="C59" s="218">
        <v>49</v>
      </c>
      <c r="D59" s="218">
        <v>12</v>
      </c>
      <c r="E59" s="218">
        <v>5</v>
      </c>
      <c r="F59" s="218">
        <v>9</v>
      </c>
      <c r="G59" s="218">
        <v>2</v>
      </c>
      <c r="H59" s="218">
        <f t="shared" si="8"/>
        <v>77</v>
      </c>
    </row>
    <row r="60" spans="2:8" x14ac:dyDescent="0.3">
      <c r="B60" s="122" t="s">
        <v>184</v>
      </c>
      <c r="C60" s="23">
        <v>484</v>
      </c>
      <c r="D60" s="23">
        <v>291</v>
      </c>
      <c r="E60" s="23">
        <v>251</v>
      </c>
      <c r="F60" s="23">
        <v>170</v>
      </c>
      <c r="G60" s="23">
        <v>52</v>
      </c>
      <c r="H60" s="23">
        <f t="shared" ref="H60:H63" si="10">+SUM(C60:G60)</f>
        <v>1248</v>
      </c>
    </row>
    <row r="61" spans="2:8" x14ac:dyDescent="0.3">
      <c r="B61" s="202" t="s">
        <v>185</v>
      </c>
      <c r="C61" s="216">
        <v>91</v>
      </c>
      <c r="D61" s="216">
        <v>31</v>
      </c>
      <c r="E61" s="216">
        <v>13</v>
      </c>
      <c r="F61" s="216">
        <v>15</v>
      </c>
      <c r="G61" s="216">
        <v>7</v>
      </c>
      <c r="H61" s="216">
        <f t="shared" si="10"/>
        <v>157</v>
      </c>
    </row>
    <row r="62" spans="2:8" x14ac:dyDescent="0.3">
      <c r="B62" s="202" t="s">
        <v>171</v>
      </c>
      <c r="C62" s="216">
        <v>43</v>
      </c>
      <c r="D62" s="216">
        <v>15</v>
      </c>
      <c r="E62" s="216">
        <v>3</v>
      </c>
      <c r="F62" s="216">
        <v>6</v>
      </c>
      <c r="G62" s="216">
        <v>2</v>
      </c>
      <c r="H62" s="216">
        <f t="shared" si="10"/>
        <v>69</v>
      </c>
    </row>
    <row r="63" spans="2:8" x14ac:dyDescent="0.3">
      <c r="B63" s="202" t="s">
        <v>179</v>
      </c>
      <c r="C63" s="216">
        <v>34</v>
      </c>
      <c r="D63" s="216">
        <v>7</v>
      </c>
      <c r="E63" s="216">
        <v>0</v>
      </c>
      <c r="F63" s="216">
        <v>5</v>
      </c>
      <c r="G63" s="216">
        <v>0</v>
      </c>
      <c r="H63" s="216">
        <f t="shared" si="10"/>
        <v>46</v>
      </c>
    </row>
    <row r="64" spans="2:8" x14ac:dyDescent="0.3">
      <c r="B64" s="219" t="s">
        <v>183</v>
      </c>
      <c r="C64" s="217">
        <v>97</v>
      </c>
      <c r="D64" s="217">
        <v>32</v>
      </c>
      <c r="E64" s="217">
        <v>13</v>
      </c>
      <c r="F64" s="217">
        <v>15</v>
      </c>
      <c r="G64" s="217">
        <v>7</v>
      </c>
      <c r="H64" s="217">
        <f>+SUM(C64:G64)</f>
        <v>164</v>
      </c>
    </row>
    <row r="65" spans="2:12" ht="15" thickBot="1" x14ac:dyDescent="0.35">
      <c r="B65" s="220" t="s">
        <v>186</v>
      </c>
      <c r="C65" s="218">
        <v>219</v>
      </c>
      <c r="D65" s="218">
        <v>206</v>
      </c>
      <c r="E65" s="218">
        <v>222</v>
      </c>
      <c r="F65" s="218">
        <v>129</v>
      </c>
      <c r="G65" s="218">
        <v>36</v>
      </c>
      <c r="H65" s="218">
        <f>SUM(C65:G65)</f>
        <v>812</v>
      </c>
    </row>
    <row r="66" spans="2:12" ht="15" thickBot="1" x14ac:dyDescent="0.35">
      <c r="B66" s="123" t="s">
        <v>175</v>
      </c>
      <c r="C66" s="124">
        <f>C42+C50+C60</f>
        <v>7096</v>
      </c>
      <c r="D66" s="124">
        <f t="shared" ref="D66:H66" si="11">D42+D50+D60</f>
        <v>1146</v>
      </c>
      <c r="E66" s="124">
        <f t="shared" si="11"/>
        <v>695</v>
      </c>
      <c r="F66" s="124">
        <f t="shared" si="11"/>
        <v>990</v>
      </c>
      <c r="G66" s="124">
        <f t="shared" si="11"/>
        <v>232</v>
      </c>
      <c r="H66" s="124">
        <f t="shared" si="11"/>
        <v>10159</v>
      </c>
    </row>
    <row r="67" spans="2:12" x14ac:dyDescent="0.3">
      <c r="B67" s="130"/>
      <c r="C67" s="79"/>
      <c r="D67" s="79"/>
      <c r="E67" s="79"/>
      <c r="F67" s="79"/>
      <c r="G67" s="79"/>
      <c r="H67" s="79"/>
    </row>
    <row r="68" spans="2:12" x14ac:dyDescent="0.3">
      <c r="B68" s="56" t="s">
        <v>187</v>
      </c>
      <c r="C68" s="79"/>
      <c r="D68" s="79"/>
      <c r="E68" s="79"/>
      <c r="F68" s="79"/>
      <c r="G68" s="79"/>
      <c r="H68" s="79"/>
    </row>
    <row r="70" spans="2:12" x14ac:dyDescent="0.3"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3">
      <c r="B71" s="22" t="s">
        <v>188</v>
      </c>
      <c r="C71" s="118"/>
      <c r="D71" s="118"/>
      <c r="E71" s="118"/>
      <c r="F71" s="118"/>
      <c r="G71" s="79"/>
      <c r="H71" s="79"/>
    </row>
    <row r="72" spans="2:12" x14ac:dyDescent="0.3">
      <c r="B72" s="92"/>
      <c r="C72" s="118"/>
      <c r="D72" s="118"/>
      <c r="E72" s="118"/>
      <c r="F72" s="118"/>
      <c r="G72" s="79"/>
      <c r="H72" s="79"/>
    </row>
    <row r="73" spans="2:12" ht="15" thickBot="1" x14ac:dyDescent="0.35">
      <c r="B73" s="93" t="s">
        <v>189</v>
      </c>
      <c r="C73" s="94">
        <f t="shared" ref="C73:K73" si="12">C$7</f>
        <v>2010</v>
      </c>
      <c r="D73" s="94">
        <f t="shared" si="12"/>
        <v>2011</v>
      </c>
      <c r="E73" s="94">
        <f t="shared" si="12"/>
        <v>2012</v>
      </c>
      <c r="F73" s="94">
        <f t="shared" si="12"/>
        <v>2013</v>
      </c>
      <c r="G73" s="94">
        <f t="shared" si="12"/>
        <v>2014</v>
      </c>
      <c r="H73" s="94">
        <f t="shared" si="12"/>
        <v>2015</v>
      </c>
      <c r="I73" s="94">
        <f t="shared" si="12"/>
        <v>2016</v>
      </c>
      <c r="J73" s="94">
        <f t="shared" si="12"/>
        <v>2017</v>
      </c>
      <c r="K73" s="94">
        <f t="shared" si="12"/>
        <v>2018</v>
      </c>
      <c r="L73" s="94">
        <v>2019</v>
      </c>
    </row>
    <row r="74" spans="2:12" ht="28.8" x14ac:dyDescent="0.3">
      <c r="B74" s="97" t="s">
        <v>190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</row>
    <row r="75" spans="2:12" x14ac:dyDescent="0.3">
      <c r="B75" s="253" t="s">
        <v>191</v>
      </c>
      <c r="C75" s="221">
        <v>522503105.47999996</v>
      </c>
      <c r="D75" s="221">
        <v>461646096.53000003</v>
      </c>
      <c r="E75" s="221">
        <v>442351524.18000001</v>
      </c>
      <c r="F75" s="221">
        <v>442671794.65000004</v>
      </c>
      <c r="G75" s="221">
        <v>398213910.13999999</v>
      </c>
      <c r="H75" s="221">
        <v>407255550.94</v>
      </c>
      <c r="I75" s="221">
        <v>454976783.42000008</v>
      </c>
      <c r="J75" s="221">
        <v>494280378.75999999</v>
      </c>
      <c r="K75" s="221">
        <v>494280378.75999999</v>
      </c>
      <c r="L75" s="221">
        <v>492547954.61999995</v>
      </c>
    </row>
    <row r="76" spans="2:12" x14ac:dyDescent="0.3">
      <c r="B76" s="253" t="s">
        <v>192</v>
      </c>
      <c r="C76" s="221">
        <v>522996000</v>
      </c>
      <c r="D76" s="221">
        <v>497217000</v>
      </c>
      <c r="E76" s="221">
        <v>478726000</v>
      </c>
      <c r="F76" s="221">
        <v>421770000</v>
      </c>
      <c r="G76" s="221">
        <v>404076000</v>
      </c>
      <c r="H76" s="221">
        <v>432974000</v>
      </c>
      <c r="I76" s="221">
        <v>448639000</v>
      </c>
      <c r="J76" s="221">
        <v>499508000</v>
      </c>
      <c r="K76" s="221">
        <v>502030000</v>
      </c>
      <c r="L76" s="221">
        <v>518902555.80000007</v>
      </c>
    </row>
    <row r="77" spans="2:12" ht="15" thickBot="1" x14ac:dyDescent="0.35">
      <c r="B77" s="253" t="s">
        <v>193</v>
      </c>
      <c r="C77" s="222">
        <v>499333198.51000005</v>
      </c>
      <c r="D77" s="222">
        <v>493946019.26000005</v>
      </c>
      <c r="E77" s="222">
        <v>474619340.22000009</v>
      </c>
      <c r="F77" s="222">
        <v>419850088.12000006</v>
      </c>
      <c r="G77" s="222">
        <v>405035523.86999995</v>
      </c>
      <c r="H77" s="222">
        <v>429221314.40000004</v>
      </c>
      <c r="I77" s="222">
        <v>494608935.59000003</v>
      </c>
      <c r="J77" s="222">
        <v>493541000</v>
      </c>
      <c r="K77" s="222">
        <v>497321000</v>
      </c>
      <c r="L77" s="222">
        <v>513759840.15999979</v>
      </c>
    </row>
    <row r="78" spans="2:12" x14ac:dyDescent="0.3">
      <c r="B78" s="97" t="s">
        <v>194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</row>
    <row r="79" spans="2:12" x14ac:dyDescent="0.3">
      <c r="B79" s="253" t="s">
        <v>195</v>
      </c>
      <c r="C79" s="221">
        <f t="shared" ref="C79:K79" si="13">C113</f>
        <v>1483759.45</v>
      </c>
      <c r="D79" s="221">
        <f t="shared" si="13"/>
        <v>1380878.86</v>
      </c>
      <c r="E79" s="221">
        <f t="shared" si="13"/>
        <v>1355753.34</v>
      </c>
      <c r="F79" s="221">
        <f t="shared" si="13"/>
        <v>1326430.46</v>
      </c>
      <c r="G79" s="221">
        <f t="shared" si="13"/>
        <v>1326430.46</v>
      </c>
      <c r="H79" s="221">
        <f t="shared" si="13"/>
        <v>1326430.46</v>
      </c>
      <c r="I79" s="221">
        <f t="shared" si="13"/>
        <v>894050</v>
      </c>
      <c r="J79" s="221">
        <f t="shared" si="13"/>
        <v>900522</v>
      </c>
      <c r="K79" s="221">
        <f t="shared" si="13"/>
        <v>900522</v>
      </c>
      <c r="L79" s="221">
        <f>L113</f>
        <v>900522</v>
      </c>
    </row>
    <row r="80" spans="2:12" x14ac:dyDescent="0.3">
      <c r="B80" s="253" t="s">
        <v>196</v>
      </c>
      <c r="C80" s="221">
        <f t="shared" ref="C80:K80" si="14">C121</f>
        <v>67227988.689999998</v>
      </c>
      <c r="D80" s="221">
        <f t="shared" si="14"/>
        <v>65447335.149999991</v>
      </c>
      <c r="E80" s="221">
        <f t="shared" si="14"/>
        <v>60023445.150000006</v>
      </c>
      <c r="F80" s="221">
        <f t="shared" si="14"/>
        <v>60383542.95000001</v>
      </c>
      <c r="G80" s="221">
        <f t="shared" si="14"/>
        <v>60743975.579999998</v>
      </c>
      <c r="H80" s="221">
        <f t="shared" si="14"/>
        <v>58999457.460000001</v>
      </c>
      <c r="I80" s="221">
        <f t="shared" si="14"/>
        <v>60872375.5</v>
      </c>
      <c r="J80" s="221">
        <f t="shared" si="14"/>
        <v>62468490</v>
      </c>
      <c r="K80" s="221">
        <f t="shared" si="14"/>
        <v>64334758.549999997</v>
      </c>
      <c r="L80" s="221">
        <f>L121</f>
        <v>65623404.970000006</v>
      </c>
    </row>
    <row r="81" spans="2:12" x14ac:dyDescent="0.3">
      <c r="B81" s="253" t="s">
        <v>197</v>
      </c>
      <c r="C81" s="221">
        <f t="shared" ref="C81:K81" si="15">C94</f>
        <v>1388027.6199999999</v>
      </c>
      <c r="D81" s="221">
        <f t="shared" si="15"/>
        <v>1292878.51</v>
      </c>
      <c r="E81" s="221">
        <f t="shared" si="15"/>
        <v>1163743.1499999999</v>
      </c>
      <c r="F81" s="221">
        <f t="shared" si="15"/>
        <v>1347620.5700000015</v>
      </c>
      <c r="G81" s="221">
        <f t="shared" si="15"/>
        <v>1014288.79</v>
      </c>
      <c r="H81" s="221">
        <f t="shared" si="15"/>
        <v>1059235.82</v>
      </c>
      <c r="I81" s="221">
        <f t="shared" si="15"/>
        <v>1017058.6199999999</v>
      </c>
      <c r="J81" s="221">
        <f t="shared" si="15"/>
        <v>972576.69000000006</v>
      </c>
      <c r="K81" s="221">
        <f t="shared" si="15"/>
        <v>1003463</v>
      </c>
      <c r="L81" s="221">
        <f>L94</f>
        <v>921595.41</v>
      </c>
    </row>
    <row r="82" spans="2:12" x14ac:dyDescent="0.3">
      <c r="B82" s="253" t="s">
        <v>198</v>
      </c>
      <c r="C82" s="221">
        <f t="shared" ref="C82:K82" si="16">C101</f>
        <v>2804884.73</v>
      </c>
      <c r="D82" s="221">
        <f t="shared" si="16"/>
        <v>2780289.02</v>
      </c>
      <c r="E82" s="221">
        <f t="shared" si="16"/>
        <v>2712523.87</v>
      </c>
      <c r="F82" s="221">
        <f t="shared" si="16"/>
        <v>2614827.1100000003</v>
      </c>
      <c r="G82" s="221">
        <f t="shared" si="16"/>
        <v>2498556.46</v>
      </c>
      <c r="H82" s="221">
        <f t="shared" si="16"/>
        <v>2968407.32</v>
      </c>
      <c r="I82" s="221">
        <f t="shared" si="16"/>
        <v>3805524.4200000004</v>
      </c>
      <c r="J82" s="221">
        <f t="shared" si="16"/>
        <v>4107429.5399999996</v>
      </c>
      <c r="K82" s="221">
        <f t="shared" si="16"/>
        <v>3516607.84</v>
      </c>
      <c r="L82" s="221">
        <f>L101</f>
        <v>2815375.3000000003</v>
      </c>
    </row>
    <row r="83" spans="2:12" ht="15" thickBot="1" x14ac:dyDescent="0.35">
      <c r="B83" s="162" t="s">
        <v>199</v>
      </c>
      <c r="C83" s="175">
        <f>C87</f>
        <v>1909300</v>
      </c>
      <c r="D83" s="175">
        <f t="shared" ref="D83:L83" si="17">D87</f>
        <v>1922900</v>
      </c>
      <c r="E83" s="175">
        <f t="shared" si="17"/>
        <v>1833760</v>
      </c>
      <c r="F83" s="175">
        <f t="shared" si="17"/>
        <v>1685620</v>
      </c>
      <c r="G83" s="175">
        <f t="shared" si="17"/>
        <v>1682875</v>
      </c>
      <c r="H83" s="175">
        <f t="shared" si="17"/>
        <v>1582370</v>
      </c>
      <c r="I83" s="175">
        <f t="shared" si="17"/>
        <v>1576340</v>
      </c>
      <c r="J83" s="175">
        <f t="shared" si="17"/>
        <v>1574395</v>
      </c>
      <c r="K83" s="175">
        <f t="shared" si="17"/>
        <v>1569560</v>
      </c>
      <c r="L83" s="175">
        <f t="shared" si="17"/>
        <v>1576210</v>
      </c>
    </row>
    <row r="84" spans="2:12" x14ac:dyDescent="0.3">
      <c r="B84" s="56"/>
      <c r="C84" s="79"/>
      <c r="D84" s="79"/>
      <c r="E84" s="79"/>
      <c r="F84" s="79"/>
      <c r="G84" s="79"/>
      <c r="H84" s="79"/>
    </row>
    <row r="85" spans="2:12" x14ac:dyDescent="0.3">
      <c r="B85" s="130"/>
      <c r="C85" s="79"/>
      <c r="D85" s="79"/>
      <c r="E85" s="79"/>
      <c r="F85" s="79"/>
      <c r="G85" s="79"/>
      <c r="H85" s="79"/>
    </row>
    <row r="86" spans="2:12" ht="30" customHeight="1" thickBot="1" x14ac:dyDescent="0.35">
      <c r="B86" s="181" t="s">
        <v>200</v>
      </c>
      <c r="C86" s="94">
        <f t="shared" ref="C86:K86" si="18">C$7</f>
        <v>2010</v>
      </c>
      <c r="D86" s="94">
        <f t="shared" si="18"/>
        <v>2011</v>
      </c>
      <c r="E86" s="94">
        <f t="shared" si="18"/>
        <v>2012</v>
      </c>
      <c r="F86" s="94">
        <f t="shared" si="18"/>
        <v>2013</v>
      </c>
      <c r="G86" s="94">
        <f t="shared" si="18"/>
        <v>2014</v>
      </c>
      <c r="H86" s="94">
        <f t="shared" si="18"/>
        <v>2015</v>
      </c>
      <c r="I86" s="94">
        <f t="shared" si="18"/>
        <v>2016</v>
      </c>
      <c r="J86" s="94">
        <f t="shared" si="18"/>
        <v>2017</v>
      </c>
      <c r="K86" s="94">
        <f t="shared" si="18"/>
        <v>2018</v>
      </c>
      <c r="L86" s="94">
        <v>2019</v>
      </c>
    </row>
    <row r="87" spans="2:12" x14ac:dyDescent="0.3">
      <c r="B87" s="95" t="s">
        <v>201</v>
      </c>
      <c r="C87" s="173">
        <v>1909300</v>
      </c>
      <c r="D87" s="173">
        <f t="shared" ref="D87:K87" si="19">+SUM(D88:D92)</f>
        <v>1922900</v>
      </c>
      <c r="E87" s="173">
        <f t="shared" si="19"/>
        <v>1833760</v>
      </c>
      <c r="F87" s="173">
        <f t="shared" si="19"/>
        <v>1685620</v>
      </c>
      <c r="G87" s="173">
        <f t="shared" si="19"/>
        <v>1682875</v>
      </c>
      <c r="H87" s="173">
        <f t="shared" si="19"/>
        <v>1582370</v>
      </c>
      <c r="I87" s="173">
        <f t="shared" si="19"/>
        <v>1576340</v>
      </c>
      <c r="J87" s="173">
        <f t="shared" si="19"/>
        <v>1574395</v>
      </c>
      <c r="K87" s="173">
        <f t="shared" si="19"/>
        <v>1569560</v>
      </c>
      <c r="L87" s="173">
        <f t="shared" ref="L87" si="20">+SUM(L88:L92)</f>
        <v>1576210</v>
      </c>
    </row>
    <row r="88" spans="2:12" x14ac:dyDescent="0.3">
      <c r="B88" s="202" t="s">
        <v>54</v>
      </c>
      <c r="C88" s="171">
        <v>900000</v>
      </c>
      <c r="D88" s="172">
        <v>903600</v>
      </c>
      <c r="E88" s="172">
        <f>856835+3470</f>
        <v>860305</v>
      </c>
      <c r="F88" s="172">
        <f>766650+17000+3000</f>
        <v>786650</v>
      </c>
      <c r="G88" s="172">
        <v>786455</v>
      </c>
      <c r="H88" s="172">
        <v>770700</v>
      </c>
      <c r="I88" s="172">
        <v>767490</v>
      </c>
      <c r="J88" s="172">
        <v>765430</v>
      </c>
      <c r="K88" s="172">
        <v>767130</v>
      </c>
      <c r="L88" s="172">
        <v>771780</v>
      </c>
    </row>
    <row r="89" spans="2:12" x14ac:dyDescent="0.3">
      <c r="B89" s="202" t="s">
        <v>55</v>
      </c>
      <c r="C89" s="223">
        <v>370000</v>
      </c>
      <c r="D89" s="221">
        <v>375950</v>
      </c>
      <c r="E89" s="221">
        <v>359825</v>
      </c>
      <c r="F89" s="221">
        <v>331470</v>
      </c>
      <c r="G89" s="221">
        <v>331720</v>
      </c>
      <c r="H89" s="221">
        <v>304590</v>
      </c>
      <c r="I89" s="221">
        <v>302020</v>
      </c>
      <c r="J89" s="221">
        <v>301150</v>
      </c>
      <c r="K89" s="221">
        <v>302030</v>
      </c>
      <c r="L89" s="221">
        <v>304030</v>
      </c>
    </row>
    <row r="90" spans="2:12" x14ac:dyDescent="0.3">
      <c r="B90" s="202" t="s">
        <v>56</v>
      </c>
      <c r="C90" s="223">
        <v>300000</v>
      </c>
      <c r="D90" s="221">
        <v>297600</v>
      </c>
      <c r="E90" s="221">
        <v>286180</v>
      </c>
      <c r="F90" s="221">
        <v>265520</v>
      </c>
      <c r="G90" s="221">
        <v>265715</v>
      </c>
      <c r="H90" s="221">
        <v>225260</v>
      </c>
      <c r="I90" s="221">
        <v>224860</v>
      </c>
      <c r="J90" s="221">
        <v>222840</v>
      </c>
      <c r="K90" s="221">
        <v>221140</v>
      </c>
      <c r="L90" s="221">
        <v>220890</v>
      </c>
    </row>
    <row r="91" spans="2:12" x14ac:dyDescent="0.3">
      <c r="B91" s="202" t="s">
        <v>57</v>
      </c>
      <c r="C91" s="223">
        <v>240000</v>
      </c>
      <c r="D91" s="221">
        <v>247950</v>
      </c>
      <c r="E91" s="221">
        <v>235520</v>
      </c>
      <c r="F91" s="221">
        <v>218970</v>
      </c>
      <c r="G91" s="221">
        <v>217325</v>
      </c>
      <c r="H91" s="221">
        <v>201350</v>
      </c>
      <c r="I91" s="221">
        <v>202850</v>
      </c>
      <c r="J91" s="221">
        <v>206315</v>
      </c>
      <c r="K91" s="221">
        <v>202530</v>
      </c>
      <c r="L91" s="221">
        <v>203570</v>
      </c>
    </row>
    <row r="92" spans="2:12" ht="15" thickBot="1" x14ac:dyDescent="0.35">
      <c r="B92" s="162" t="s">
        <v>58</v>
      </c>
      <c r="C92" s="174">
        <v>100000</v>
      </c>
      <c r="D92" s="175">
        <v>97800</v>
      </c>
      <c r="E92" s="175">
        <v>91930</v>
      </c>
      <c r="F92" s="175">
        <v>83010</v>
      </c>
      <c r="G92" s="175">
        <v>81660</v>
      </c>
      <c r="H92" s="175">
        <v>80470</v>
      </c>
      <c r="I92" s="175">
        <v>79120</v>
      </c>
      <c r="J92" s="175">
        <v>78660</v>
      </c>
      <c r="K92" s="175">
        <v>76730</v>
      </c>
      <c r="L92" s="175">
        <v>75940</v>
      </c>
    </row>
    <row r="93" spans="2:12" ht="30" customHeight="1" thickBot="1" x14ac:dyDescent="0.35">
      <c r="B93" s="181" t="s">
        <v>202</v>
      </c>
      <c r="C93" s="94"/>
      <c r="D93" s="94"/>
      <c r="E93" s="94"/>
      <c r="F93" s="94"/>
      <c r="G93" s="94"/>
      <c r="H93" s="94"/>
      <c r="I93" s="94"/>
      <c r="J93" s="94"/>
      <c r="K93" s="94"/>
      <c r="L93" s="94"/>
    </row>
    <row r="94" spans="2:12" x14ac:dyDescent="0.3">
      <c r="B94" s="63" t="s">
        <v>203</v>
      </c>
      <c r="C94" s="185">
        <f t="shared" ref="C94:K94" si="21">SUM(C95:C100)</f>
        <v>1388027.6199999999</v>
      </c>
      <c r="D94" s="185">
        <f t="shared" si="21"/>
        <v>1292878.51</v>
      </c>
      <c r="E94" s="185">
        <f t="shared" si="21"/>
        <v>1163743.1499999999</v>
      </c>
      <c r="F94" s="185">
        <f t="shared" si="21"/>
        <v>1347620.5700000015</v>
      </c>
      <c r="G94" s="185">
        <f t="shared" si="21"/>
        <v>1014288.79</v>
      </c>
      <c r="H94" s="185">
        <f t="shared" si="21"/>
        <v>1059235.82</v>
      </c>
      <c r="I94" s="185">
        <f t="shared" si="21"/>
        <v>1017058.6199999999</v>
      </c>
      <c r="J94" s="185">
        <f t="shared" si="21"/>
        <v>972576.69000000006</v>
      </c>
      <c r="K94" s="185">
        <f t="shared" si="21"/>
        <v>1003463</v>
      </c>
      <c r="L94" s="185">
        <f t="shared" ref="L94" si="22">SUM(L95:L100)</f>
        <v>921595.41</v>
      </c>
    </row>
    <row r="95" spans="2:12" x14ac:dyDescent="0.3">
      <c r="B95" s="202" t="s">
        <v>204</v>
      </c>
      <c r="C95" s="224">
        <v>562246.88</v>
      </c>
      <c r="D95" s="224">
        <v>522116.9</v>
      </c>
      <c r="E95" s="224">
        <v>428045.22</v>
      </c>
      <c r="F95" s="221">
        <v>536398.72000000149</v>
      </c>
      <c r="G95" s="221">
        <v>420401.76</v>
      </c>
      <c r="H95" s="223">
        <v>432671.06</v>
      </c>
      <c r="I95" s="223">
        <v>432071.83</v>
      </c>
      <c r="J95" s="223">
        <v>423133.32</v>
      </c>
      <c r="K95" s="223">
        <v>415130</v>
      </c>
      <c r="L95" s="223">
        <v>390308.33</v>
      </c>
    </row>
    <row r="96" spans="2:12" x14ac:dyDescent="0.3">
      <c r="B96" s="202" t="s">
        <v>205</v>
      </c>
      <c r="C96" s="224">
        <v>357967.83</v>
      </c>
      <c r="D96" s="224">
        <v>363934.58</v>
      </c>
      <c r="E96" s="224">
        <v>165118.78</v>
      </c>
      <c r="F96" s="221">
        <v>95407.27</v>
      </c>
      <c r="G96" s="221">
        <v>111615.46</v>
      </c>
      <c r="H96" s="223">
        <v>144542.63</v>
      </c>
      <c r="I96" s="223">
        <v>115595.49999999996</v>
      </c>
      <c r="J96" s="223">
        <v>89582.27</v>
      </c>
      <c r="K96" s="223">
        <v>144509</v>
      </c>
      <c r="L96" s="223">
        <v>76252.88</v>
      </c>
    </row>
    <row r="97" spans="2:12" x14ac:dyDescent="0.3">
      <c r="B97" s="202" t="s">
        <v>55</v>
      </c>
      <c r="C97" s="224">
        <v>266193.05</v>
      </c>
      <c r="D97" s="224">
        <v>205588.56</v>
      </c>
      <c r="E97" s="224">
        <v>249426.18</v>
      </c>
      <c r="F97" s="221">
        <v>324328.45</v>
      </c>
      <c r="G97" s="221">
        <v>249098.35</v>
      </c>
      <c r="H97" s="223">
        <v>244242.08</v>
      </c>
      <c r="I97" s="223">
        <v>205946.60999999996</v>
      </c>
      <c r="J97" s="223">
        <v>204682.97</v>
      </c>
      <c r="K97" s="223">
        <v>195562</v>
      </c>
      <c r="L97" s="223">
        <v>225427.74</v>
      </c>
    </row>
    <row r="98" spans="2:12" x14ac:dyDescent="0.3">
      <c r="B98" s="202" t="s">
        <v>206</v>
      </c>
      <c r="C98" s="224">
        <v>39817.660000000003</v>
      </c>
      <c r="D98" s="224">
        <v>32981.58</v>
      </c>
      <c r="E98" s="224">
        <v>42696.5</v>
      </c>
      <c r="F98" s="221">
        <v>62283.61</v>
      </c>
      <c r="G98" s="221">
        <v>31241.68</v>
      </c>
      <c r="H98" s="223">
        <v>37463</v>
      </c>
      <c r="I98" s="223">
        <v>38411.9</v>
      </c>
      <c r="J98" s="223">
        <v>50653.04</v>
      </c>
      <c r="K98" s="223">
        <v>42224</v>
      </c>
      <c r="L98" s="223">
        <v>39539.279999999999</v>
      </c>
    </row>
    <row r="99" spans="2:12" x14ac:dyDescent="0.3">
      <c r="B99" s="202" t="s">
        <v>57</v>
      </c>
      <c r="C99" s="224">
        <v>136428.10999999999</v>
      </c>
      <c r="D99" s="224">
        <v>138337.71</v>
      </c>
      <c r="E99" s="224">
        <v>144143.32999999999</v>
      </c>
      <c r="F99" s="221">
        <v>170865.76</v>
      </c>
      <c r="G99" s="221">
        <v>153042.38</v>
      </c>
      <c r="H99" s="223">
        <v>157098.19</v>
      </c>
      <c r="I99" s="223">
        <v>190880.06999999989</v>
      </c>
      <c r="J99" s="223">
        <v>179978.62</v>
      </c>
      <c r="K99" s="223">
        <v>172206</v>
      </c>
      <c r="L99" s="223">
        <v>154528.54</v>
      </c>
    </row>
    <row r="100" spans="2:12" ht="15" thickBot="1" x14ac:dyDescent="0.35">
      <c r="B100" s="162" t="s">
        <v>58</v>
      </c>
      <c r="C100" s="184">
        <v>25374.09</v>
      </c>
      <c r="D100" s="184">
        <v>29919.18</v>
      </c>
      <c r="E100" s="184">
        <v>134313.14000000001</v>
      </c>
      <c r="F100" s="175">
        <v>158336.76</v>
      </c>
      <c r="G100" s="175">
        <v>48889.16</v>
      </c>
      <c r="H100" s="174">
        <v>43218.86</v>
      </c>
      <c r="I100" s="174">
        <v>34152.71</v>
      </c>
      <c r="J100" s="174">
        <v>24546.47</v>
      </c>
      <c r="K100" s="174">
        <v>33832</v>
      </c>
      <c r="L100" s="174">
        <v>35538.639999999999</v>
      </c>
    </row>
    <row r="101" spans="2:12" x14ac:dyDescent="0.3">
      <c r="B101" s="63" t="s">
        <v>207</v>
      </c>
      <c r="C101" s="186">
        <f t="shared" ref="C101:K101" si="23">IF(SUM(C102:C108)=SUM(C109:C111),SUM(C102:C108),"Revisa-ho")</f>
        <v>2804884.73</v>
      </c>
      <c r="D101" s="186">
        <f t="shared" si="23"/>
        <v>2780289.02</v>
      </c>
      <c r="E101" s="186">
        <f t="shared" si="23"/>
        <v>2712523.87</v>
      </c>
      <c r="F101" s="186">
        <f t="shared" si="23"/>
        <v>2614827.1100000003</v>
      </c>
      <c r="G101" s="186">
        <f t="shared" si="23"/>
        <v>2498556.46</v>
      </c>
      <c r="H101" s="186">
        <f t="shared" si="23"/>
        <v>2968407.32</v>
      </c>
      <c r="I101" s="186">
        <f t="shared" si="23"/>
        <v>3805524.4200000004</v>
      </c>
      <c r="J101" s="186">
        <f t="shared" si="23"/>
        <v>4107429.5399999996</v>
      </c>
      <c r="K101" s="186">
        <f t="shared" si="23"/>
        <v>3516607.84</v>
      </c>
      <c r="L101" s="186">
        <f t="shared" ref="L101" si="24">IF(SUM(L102:L108)=SUM(L109:L111),SUM(L102:L108),"Revisa-ho")</f>
        <v>2815375.3000000003</v>
      </c>
    </row>
    <row r="102" spans="2:12" x14ac:dyDescent="0.3">
      <c r="B102" s="202" t="s">
        <v>204</v>
      </c>
      <c r="C102" s="224">
        <v>1037061.68</v>
      </c>
      <c r="D102" s="224">
        <v>959758.26</v>
      </c>
      <c r="E102" s="224">
        <v>982256.39</v>
      </c>
      <c r="F102" s="221">
        <v>811200.87</v>
      </c>
      <c r="G102" s="221">
        <v>787168.88</v>
      </c>
      <c r="H102" s="221">
        <v>879691.38</v>
      </c>
      <c r="I102" s="221">
        <v>1161029.6400000001</v>
      </c>
      <c r="J102" s="223">
        <v>1272592.48</v>
      </c>
      <c r="K102" s="223">
        <v>1123297.5000000002</v>
      </c>
      <c r="L102" s="223">
        <v>801473.26</v>
      </c>
    </row>
    <row r="103" spans="2:12" x14ac:dyDescent="0.3">
      <c r="B103" s="202" t="s">
        <v>205</v>
      </c>
      <c r="C103" s="224">
        <v>679069.49</v>
      </c>
      <c r="D103" s="224">
        <v>690430.68</v>
      </c>
      <c r="E103" s="224">
        <v>630951.59</v>
      </c>
      <c r="F103" s="221">
        <v>731348.14</v>
      </c>
      <c r="G103" s="221">
        <v>672072.69</v>
      </c>
      <c r="H103" s="221">
        <v>894344.93</v>
      </c>
      <c r="I103" s="221">
        <v>1124051.1600000001</v>
      </c>
      <c r="J103" s="223">
        <v>1376301.36</v>
      </c>
      <c r="K103" s="223">
        <v>1094674.8099999998</v>
      </c>
      <c r="L103" s="223">
        <v>747779.44</v>
      </c>
    </row>
    <row r="104" spans="2:12" x14ac:dyDescent="0.3">
      <c r="B104" s="202" t="s">
        <v>55</v>
      </c>
      <c r="C104" s="224">
        <v>551902.06999999995</v>
      </c>
      <c r="D104" s="224">
        <v>615859.5</v>
      </c>
      <c r="E104" s="224">
        <v>621307.9</v>
      </c>
      <c r="F104" s="221">
        <v>631068.84</v>
      </c>
      <c r="G104" s="221">
        <v>631164</v>
      </c>
      <c r="H104" s="221">
        <v>668018.13</v>
      </c>
      <c r="I104" s="221">
        <v>864044.66</v>
      </c>
      <c r="J104" s="223">
        <v>857972.97</v>
      </c>
      <c r="K104" s="223">
        <v>706556.05</v>
      </c>
      <c r="L104" s="223">
        <v>775325.38</v>
      </c>
    </row>
    <row r="105" spans="2:12" x14ac:dyDescent="0.3">
      <c r="B105" s="202" t="s">
        <v>206</v>
      </c>
      <c r="C105" s="224">
        <v>116374.99</v>
      </c>
      <c r="D105" s="224">
        <v>108838.52</v>
      </c>
      <c r="E105" s="224">
        <v>92350.59</v>
      </c>
      <c r="F105" s="221">
        <v>91415.67</v>
      </c>
      <c r="G105" s="221">
        <v>90233.42</v>
      </c>
      <c r="H105" s="221">
        <v>104211.32</v>
      </c>
      <c r="I105" s="221">
        <v>142701.69</v>
      </c>
      <c r="J105" s="223">
        <v>173267.09</v>
      </c>
      <c r="K105" s="223">
        <v>151506.88000000006</v>
      </c>
      <c r="L105" s="223">
        <v>130089.09</v>
      </c>
    </row>
    <row r="106" spans="2:12" x14ac:dyDescent="0.3">
      <c r="B106" s="202" t="s">
        <v>57</v>
      </c>
      <c r="C106" s="224">
        <v>326537.96000000002</v>
      </c>
      <c r="D106" s="224">
        <v>306022.12</v>
      </c>
      <c r="E106" s="224">
        <v>274829.12</v>
      </c>
      <c r="F106" s="221">
        <v>251695.67</v>
      </c>
      <c r="G106" s="221">
        <v>226944.87</v>
      </c>
      <c r="H106" s="221">
        <v>317910.40000000002</v>
      </c>
      <c r="I106" s="221">
        <v>383093.66000000003</v>
      </c>
      <c r="J106" s="223">
        <v>331747.09999999998</v>
      </c>
      <c r="K106" s="223">
        <v>365493.9599999999</v>
      </c>
      <c r="L106" s="223">
        <v>283553.87</v>
      </c>
    </row>
    <row r="107" spans="2:12" x14ac:dyDescent="0.3">
      <c r="B107" s="202" t="s">
        <v>58</v>
      </c>
      <c r="C107" s="224">
        <v>82067.58</v>
      </c>
      <c r="D107" s="224">
        <v>86045.1</v>
      </c>
      <c r="E107" s="224">
        <v>100535.12</v>
      </c>
      <c r="F107" s="221">
        <v>89468.97</v>
      </c>
      <c r="G107" s="221">
        <v>75931.77</v>
      </c>
      <c r="H107" s="221">
        <v>89977.1</v>
      </c>
      <c r="I107" s="221">
        <v>117741.05000000002</v>
      </c>
      <c r="J107" s="223">
        <v>84342.9</v>
      </c>
      <c r="K107" s="223">
        <v>67863.11</v>
      </c>
      <c r="L107" s="223">
        <v>69169.429999999993</v>
      </c>
    </row>
    <row r="108" spans="2:12" ht="15" thickBot="1" x14ac:dyDescent="0.35">
      <c r="B108" s="162" t="s">
        <v>208</v>
      </c>
      <c r="C108" s="184">
        <v>11870.96</v>
      </c>
      <c r="D108" s="184">
        <v>13334.84</v>
      </c>
      <c r="E108" s="184">
        <v>10293.16</v>
      </c>
      <c r="F108" s="174">
        <v>8628.9500000000007</v>
      </c>
      <c r="G108" s="175">
        <v>15040.83</v>
      </c>
      <c r="H108" s="175">
        <v>14254.06</v>
      </c>
      <c r="I108" s="175">
        <v>12862.56</v>
      </c>
      <c r="J108" s="174">
        <v>11205.64</v>
      </c>
      <c r="K108" s="174">
        <v>7215.53</v>
      </c>
      <c r="L108" s="174">
        <v>7984.83</v>
      </c>
    </row>
    <row r="109" spans="2:12" x14ac:dyDescent="0.3">
      <c r="B109" s="182" t="s">
        <v>209</v>
      </c>
      <c r="C109" s="183">
        <v>598470.18999999994</v>
      </c>
      <c r="D109" s="183">
        <v>582557.28</v>
      </c>
      <c r="E109" s="183">
        <v>596771.78</v>
      </c>
      <c r="F109" s="183">
        <v>603658.39</v>
      </c>
      <c r="G109" s="183">
        <v>674854.47</v>
      </c>
      <c r="H109" s="183">
        <v>861203.31</v>
      </c>
      <c r="I109" s="183">
        <v>1310521.7999999998</v>
      </c>
      <c r="J109" s="183">
        <v>1478867.15</v>
      </c>
      <c r="K109" s="183">
        <v>1053998.8999999999</v>
      </c>
      <c r="L109" s="183">
        <v>829930.49</v>
      </c>
    </row>
    <row r="110" spans="2:12" x14ac:dyDescent="0.3">
      <c r="B110" s="225" t="s">
        <v>210</v>
      </c>
      <c r="C110" s="226">
        <v>2194543.58</v>
      </c>
      <c r="D110" s="226">
        <v>2184396.9</v>
      </c>
      <c r="E110" s="226">
        <v>2105458.9300000002</v>
      </c>
      <c r="F110" s="226">
        <v>2002539.77</v>
      </c>
      <c r="G110" s="226">
        <v>1808661.16</v>
      </c>
      <c r="H110" s="226">
        <v>2092949.95</v>
      </c>
      <c r="I110" s="226">
        <v>2482140.0600000015</v>
      </c>
      <c r="J110" s="226">
        <v>2617356.75</v>
      </c>
      <c r="K110" s="226">
        <v>2455393.41</v>
      </c>
      <c r="L110" s="226">
        <v>1977459.98</v>
      </c>
    </row>
    <row r="111" spans="2:12" ht="15" thickBot="1" x14ac:dyDescent="0.35">
      <c r="B111" s="116" t="s">
        <v>211</v>
      </c>
      <c r="C111" s="176">
        <v>11870.96</v>
      </c>
      <c r="D111" s="176">
        <v>13334.84</v>
      </c>
      <c r="E111" s="176">
        <v>10293.16</v>
      </c>
      <c r="F111" s="176">
        <v>8628.9500000000007</v>
      </c>
      <c r="G111" s="176">
        <v>15040.83</v>
      </c>
      <c r="H111" s="176">
        <v>14254.06</v>
      </c>
      <c r="I111" s="176">
        <v>12862.56</v>
      </c>
      <c r="J111" s="176">
        <v>11205.64</v>
      </c>
      <c r="K111" s="176">
        <v>7215.53</v>
      </c>
      <c r="L111" s="176">
        <v>7984.83</v>
      </c>
    </row>
    <row r="112" spans="2:12" ht="30" customHeight="1" thickBot="1" x14ac:dyDescent="0.35">
      <c r="B112" s="181" t="s">
        <v>212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</row>
    <row r="113" spans="2:12" ht="15" thickBot="1" x14ac:dyDescent="0.35">
      <c r="B113" s="113" t="s">
        <v>213</v>
      </c>
      <c r="C113" s="177">
        <v>1483759.45</v>
      </c>
      <c r="D113" s="177">
        <v>1380878.86</v>
      </c>
      <c r="E113" s="177">
        <v>1355753.34</v>
      </c>
      <c r="F113" s="177">
        <v>1326430.46</v>
      </c>
      <c r="G113" s="177">
        <v>1326430.46</v>
      </c>
      <c r="H113" s="177">
        <v>1326430.46</v>
      </c>
      <c r="I113" s="177">
        <v>894050</v>
      </c>
      <c r="J113" s="177">
        <v>900522</v>
      </c>
      <c r="K113" s="177">
        <v>900522</v>
      </c>
      <c r="L113" s="177">
        <v>900522</v>
      </c>
    </row>
    <row r="114" spans="2:12" x14ac:dyDescent="0.3">
      <c r="B114" s="113" t="s">
        <v>214</v>
      </c>
      <c r="C114" s="178">
        <f t="shared" ref="C114:K114" si="25">SUM(C115:C117)</f>
        <v>60054948.239999995</v>
      </c>
      <c r="D114" s="178">
        <f t="shared" si="25"/>
        <v>58367220.449999996</v>
      </c>
      <c r="E114" s="178">
        <f t="shared" si="25"/>
        <v>53252971.539999999</v>
      </c>
      <c r="F114" s="178">
        <f t="shared" si="25"/>
        <v>53367136.470000006</v>
      </c>
      <c r="G114" s="178">
        <f t="shared" si="25"/>
        <v>53662212.219999999</v>
      </c>
      <c r="H114" s="178">
        <f t="shared" si="25"/>
        <v>51861027</v>
      </c>
      <c r="I114" s="178">
        <f t="shared" si="25"/>
        <v>54102336</v>
      </c>
      <c r="J114" s="178">
        <f t="shared" si="25"/>
        <v>55288555</v>
      </c>
      <c r="K114" s="178">
        <f t="shared" si="25"/>
        <v>56995684.07</v>
      </c>
      <c r="L114" s="178">
        <f t="shared" ref="L114" si="26">SUM(L115:L117)</f>
        <v>58231612.120000005</v>
      </c>
    </row>
    <row r="115" spans="2:12" x14ac:dyDescent="0.3">
      <c r="B115" s="227" t="s">
        <v>215</v>
      </c>
      <c r="C115" s="228">
        <v>43006063.289999999</v>
      </c>
      <c r="D115" s="228">
        <v>42114085.030000001</v>
      </c>
      <c r="E115" s="228">
        <v>38204550.789999999</v>
      </c>
      <c r="F115" s="228">
        <v>38868677.090000004</v>
      </c>
      <c r="G115" s="228">
        <v>39777253</v>
      </c>
      <c r="H115" s="228">
        <v>38430000</v>
      </c>
      <c r="I115" s="228">
        <f>39704967</f>
        <v>39704967</v>
      </c>
      <c r="J115" s="228">
        <v>40513363</v>
      </c>
      <c r="K115" s="228">
        <v>41687638.07</v>
      </c>
      <c r="L115" s="228">
        <v>42491608.600000001</v>
      </c>
    </row>
    <row r="116" spans="2:12" x14ac:dyDescent="0.3">
      <c r="B116" s="227" t="s">
        <v>216</v>
      </c>
      <c r="C116" s="228">
        <v>14732014.449999999</v>
      </c>
      <c r="D116" s="228">
        <v>14052108.439999999</v>
      </c>
      <c r="E116" s="228">
        <v>12847393.77</v>
      </c>
      <c r="F116" s="228">
        <v>12297432.380000001</v>
      </c>
      <c r="G116" s="228">
        <v>11683932.220000001</v>
      </c>
      <c r="H116" s="228">
        <v>11230000</v>
      </c>
      <c r="I116" s="228">
        <v>11685829</v>
      </c>
      <c r="J116" s="228">
        <v>12008051</v>
      </c>
      <c r="K116" s="228">
        <v>12466883</v>
      </c>
      <c r="L116" s="228">
        <v>12876883.52</v>
      </c>
    </row>
    <row r="117" spans="2:12" ht="15" thickBot="1" x14ac:dyDescent="0.35">
      <c r="B117" s="227" t="s">
        <v>217</v>
      </c>
      <c r="C117" s="179">
        <v>2316870.5</v>
      </c>
      <c r="D117" s="179">
        <v>2201026.98</v>
      </c>
      <c r="E117" s="179">
        <v>2201026.98</v>
      </c>
      <c r="F117" s="179">
        <v>2201027</v>
      </c>
      <c r="G117" s="179">
        <v>2201027</v>
      </c>
      <c r="H117" s="179">
        <v>2201027</v>
      </c>
      <c r="I117" s="179">
        <v>2711540</v>
      </c>
      <c r="J117" s="179">
        <v>2767141</v>
      </c>
      <c r="K117" s="179">
        <v>2841163</v>
      </c>
      <c r="L117" s="179">
        <v>2863120</v>
      </c>
    </row>
    <row r="118" spans="2:12" x14ac:dyDescent="0.3">
      <c r="B118" s="113" t="s">
        <v>218</v>
      </c>
      <c r="C118" s="180">
        <f t="shared" ref="C118:K118" si="27">SUM(C119:C120)</f>
        <v>5689281</v>
      </c>
      <c r="D118" s="180">
        <f t="shared" si="27"/>
        <v>5699235.8399999999</v>
      </c>
      <c r="E118" s="180">
        <f t="shared" si="27"/>
        <v>5414720.2699999996</v>
      </c>
      <c r="F118" s="180">
        <f t="shared" si="27"/>
        <v>5689976.0199999996</v>
      </c>
      <c r="G118" s="180">
        <f t="shared" si="27"/>
        <v>5755332.9000000004</v>
      </c>
      <c r="H118" s="180">
        <f t="shared" si="27"/>
        <v>5812000</v>
      </c>
      <c r="I118" s="180">
        <f t="shared" si="27"/>
        <v>5875989.5</v>
      </c>
      <c r="J118" s="180">
        <f t="shared" si="27"/>
        <v>6279413</v>
      </c>
      <c r="K118" s="180">
        <f t="shared" si="27"/>
        <v>6438552.4800000004</v>
      </c>
      <c r="L118" s="180">
        <f t="shared" ref="L118" si="28">SUM(L119:L120)</f>
        <v>6491270.8499999996</v>
      </c>
    </row>
    <row r="119" spans="2:12" x14ac:dyDescent="0.3">
      <c r="B119" s="227" t="s">
        <v>215</v>
      </c>
      <c r="C119" s="228">
        <v>5271055.5</v>
      </c>
      <c r="D119" s="228">
        <v>5313459.84</v>
      </c>
      <c r="E119" s="228">
        <v>5040428.2699999996</v>
      </c>
      <c r="F119" s="228">
        <v>5304962.0199999996</v>
      </c>
      <c r="G119" s="228">
        <v>5375670.9000000004</v>
      </c>
      <c r="H119" s="228">
        <v>5440000</v>
      </c>
      <c r="I119" s="228">
        <v>5518614.5</v>
      </c>
      <c r="J119" s="228">
        <v>5842907</v>
      </c>
      <c r="K119" s="228">
        <v>5990339.4800000004</v>
      </c>
      <c r="L119" s="228">
        <v>6044131.8499999996</v>
      </c>
    </row>
    <row r="120" spans="2:12" ht="15" thickBot="1" x14ac:dyDescent="0.35">
      <c r="B120" s="227" t="s">
        <v>217</v>
      </c>
      <c r="C120" s="179">
        <v>418225.5</v>
      </c>
      <c r="D120" s="179">
        <v>385776</v>
      </c>
      <c r="E120" s="179">
        <v>374292</v>
      </c>
      <c r="F120" s="179">
        <v>385014</v>
      </c>
      <c r="G120" s="179">
        <v>379662</v>
      </c>
      <c r="H120" s="179">
        <v>372000</v>
      </c>
      <c r="I120" s="179">
        <v>357375</v>
      </c>
      <c r="J120" s="179">
        <v>436506</v>
      </c>
      <c r="K120" s="179">
        <v>448213</v>
      </c>
      <c r="L120" s="179">
        <v>447139</v>
      </c>
    </row>
    <row r="121" spans="2:12" ht="15" thickBot="1" x14ac:dyDescent="0.35">
      <c r="B121" s="117" t="s">
        <v>219</v>
      </c>
      <c r="C121" s="88">
        <f t="shared" ref="C121:K121" si="29">+C118+C114+C113</f>
        <v>67227988.689999998</v>
      </c>
      <c r="D121" s="88">
        <f t="shared" si="29"/>
        <v>65447335.149999991</v>
      </c>
      <c r="E121" s="88">
        <f t="shared" si="29"/>
        <v>60023445.150000006</v>
      </c>
      <c r="F121" s="88">
        <f t="shared" si="29"/>
        <v>60383542.95000001</v>
      </c>
      <c r="G121" s="88">
        <f t="shared" si="29"/>
        <v>60743975.579999998</v>
      </c>
      <c r="H121" s="88">
        <f t="shared" si="29"/>
        <v>58999457.460000001</v>
      </c>
      <c r="I121" s="88">
        <f t="shared" si="29"/>
        <v>60872375.5</v>
      </c>
      <c r="J121" s="88">
        <f t="shared" si="29"/>
        <v>62468490</v>
      </c>
      <c r="K121" s="88">
        <f t="shared" si="29"/>
        <v>64334758.549999997</v>
      </c>
      <c r="L121" s="88">
        <f t="shared" ref="L121" si="30">+L118+L114+L113</f>
        <v>65623404.970000006</v>
      </c>
    </row>
    <row r="123" spans="2:12" x14ac:dyDescent="0.3">
      <c r="B123" s="56" t="s">
        <v>220</v>
      </c>
    </row>
    <row r="124" spans="2:12" x14ac:dyDescent="0.3">
      <c r="B124" s="89"/>
    </row>
    <row r="125" spans="2:12" x14ac:dyDescent="0.3">
      <c r="B125" s="89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2" manualBreakCount="2">
    <brk id="38" max="16383" man="1"/>
    <brk id="84" max="8" man="1"/>
  </rowBreaks>
  <ignoredErrors>
    <ignoredError sqref="C50:H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B2:L99"/>
  <sheetViews>
    <sheetView zoomScaleNormal="100" workbookViewId="0"/>
  </sheetViews>
  <sheetFormatPr defaultColWidth="9.109375" defaultRowHeight="14.4" x14ac:dyDescent="0.3"/>
  <cols>
    <col min="1" max="1" width="9.109375" style="7" customWidth="1"/>
    <col min="2" max="2" width="58.6640625" style="102" customWidth="1"/>
    <col min="3" max="10" width="11.6640625" style="87" customWidth="1"/>
    <col min="11" max="12" width="11.6640625" style="7" customWidth="1"/>
    <col min="13" max="16384" width="9.109375" style="7"/>
  </cols>
  <sheetData>
    <row r="2" spans="2:12" ht="17.399999999999999" x14ac:dyDescent="0.35">
      <c r="B2" s="168" t="s">
        <v>221</v>
      </c>
    </row>
    <row r="3" spans="2:12" x14ac:dyDescent="0.3">
      <c r="B3" s="89"/>
    </row>
    <row r="4" spans="2:12" x14ac:dyDescent="0.3">
      <c r="B4" s="89"/>
    </row>
    <row r="5" spans="2:12" x14ac:dyDescent="0.3">
      <c r="B5" s="22" t="s">
        <v>222</v>
      </c>
      <c r="C5" s="90"/>
      <c r="D5" s="90"/>
      <c r="E5" s="90"/>
      <c r="F5" s="90"/>
      <c r="G5" s="91"/>
      <c r="H5" s="91"/>
    </row>
    <row r="6" spans="2:12" x14ac:dyDescent="0.3">
      <c r="B6" s="92"/>
      <c r="C6" s="90"/>
      <c r="D6" s="90"/>
      <c r="E6" s="90"/>
      <c r="F6" s="90"/>
      <c r="G6" s="91"/>
      <c r="H6" s="91"/>
    </row>
    <row r="7" spans="2:12" ht="15" thickBot="1" x14ac:dyDescent="0.35">
      <c r="B7" s="93"/>
      <c r="C7" s="94">
        <v>2010</v>
      </c>
      <c r="D7" s="94">
        <v>2011</v>
      </c>
      <c r="E7" s="94">
        <v>2012</v>
      </c>
      <c r="F7" s="94">
        <v>2013</v>
      </c>
      <c r="G7" s="94">
        <v>2014</v>
      </c>
      <c r="H7" s="94">
        <v>2015</v>
      </c>
      <c r="I7" s="94">
        <v>2016</v>
      </c>
      <c r="J7" s="94">
        <v>2017</v>
      </c>
      <c r="K7" s="94">
        <v>2018</v>
      </c>
      <c r="L7" s="94">
        <v>2019</v>
      </c>
    </row>
    <row r="8" spans="2:12" x14ac:dyDescent="0.3">
      <c r="B8" s="95" t="s">
        <v>223</v>
      </c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2:12" ht="15" thickBot="1" x14ac:dyDescent="0.35">
      <c r="B9" s="229" t="s">
        <v>224</v>
      </c>
      <c r="C9" s="96" t="str">
        <f>IFERROR(C25/'Pàg. 2'!C$19,"-")</f>
        <v>-</v>
      </c>
      <c r="D9" s="96" t="str">
        <f>IFERROR(D25/'Pàg. 2'!D$19,"-")</f>
        <v>-</v>
      </c>
      <c r="E9" s="96">
        <f>IFERROR(E25/'Pàg. 2'!E$19,"-")</f>
        <v>2.0408163265306121E-2</v>
      </c>
      <c r="F9" s="96">
        <f>IFERROR(F25/'Pàg. 2'!F$19,"-")</f>
        <v>2.0408163265306121E-2</v>
      </c>
      <c r="G9" s="96">
        <f>IFERROR(G25/'Pàg. 2'!G$19,"-")</f>
        <v>6.1224489795918366E-2</v>
      </c>
      <c r="H9" s="96">
        <f>IFERROR(H25/'Pàg. 2'!H$19,"-")</f>
        <v>0.12244897959183673</v>
      </c>
      <c r="I9" s="96">
        <f>IFERROR(I25/'Pàg. 2'!I$19,"-")</f>
        <v>0.18367346938775511</v>
      </c>
      <c r="J9" s="96">
        <f>IFERROR(J25/'Pàg. 2'!J$19,"-")</f>
        <v>0.22448979591836735</v>
      </c>
      <c r="K9" s="96">
        <f>IFERROR(K25/'Pàg. 2'!K$19,"-")</f>
        <v>0.32653061224489793</v>
      </c>
      <c r="L9" s="96">
        <f>IFERROR(L25/'Pàg. 2'!L$19,"-")</f>
        <v>0.32653061224489793</v>
      </c>
    </row>
    <row r="10" spans="2:12" x14ac:dyDescent="0.3">
      <c r="B10" s="165" t="s">
        <v>225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2:12" x14ac:dyDescent="0.3">
      <c r="B11" s="306" t="s">
        <v>226</v>
      </c>
      <c r="C11" s="96" t="s">
        <v>142</v>
      </c>
      <c r="D11" s="96" t="s">
        <v>142</v>
      </c>
      <c r="E11" s="96">
        <f>IFERROR(E54/'Pàg. 2'!E$21,"-")</f>
        <v>1.6339869281045752E-3</v>
      </c>
      <c r="F11" s="96">
        <f>IFERROR(F54/'Pàg. 2'!F$21,"-")</f>
        <v>1.9607843137254902E-2</v>
      </c>
      <c r="G11" s="96">
        <f>IFERROR(G54/'Pàg. 2'!G$21,"-")</f>
        <v>9.3137254901960786E-2</v>
      </c>
      <c r="H11" s="96">
        <f>IFERROR(H54/'Pàg. 2'!H$21,"-")</f>
        <v>0.18107667210440456</v>
      </c>
      <c r="I11" s="96">
        <f>IFERROR(I54/'Pàg. 2'!I$21,"-")</f>
        <v>0.23817292006525284</v>
      </c>
      <c r="J11" s="96">
        <f>IFERROR(J54/'Pàg. 2'!J$21,"-")</f>
        <v>0.34910277324632955</v>
      </c>
      <c r="K11" s="96">
        <f>IFERROR(K54/'Pàg. 2'!K$21,"-")</f>
        <v>0.45425361155698235</v>
      </c>
      <c r="L11" s="96">
        <f>IFERROR(L54/'Pàg. 2'!L$21,"-")</f>
        <v>0.57710651828298887</v>
      </c>
    </row>
    <row r="12" spans="2:12" x14ac:dyDescent="0.3">
      <c r="B12" s="306" t="s">
        <v>227</v>
      </c>
      <c r="C12" s="96">
        <v>3.288046439800373E-3</v>
      </c>
      <c r="D12" s="96">
        <v>8.1727046315481049E-3</v>
      </c>
      <c r="E12" s="96">
        <v>4.0022298307068244E-2</v>
      </c>
      <c r="F12" s="96">
        <v>0.20689841169734288</v>
      </c>
      <c r="G12" s="96">
        <v>0.27498587674698499</v>
      </c>
      <c r="H12" s="96">
        <v>0.27858636326608194</v>
      </c>
      <c r="I12" s="96">
        <v>0.49027411007875982</v>
      </c>
      <c r="J12" s="96">
        <v>0.59180599203855022</v>
      </c>
      <c r="K12" s="96">
        <v>0.68563861271908266</v>
      </c>
      <c r="L12" s="96">
        <v>0.69799999999999995</v>
      </c>
    </row>
    <row r="13" spans="2:12" x14ac:dyDescent="0.3">
      <c r="B13" s="306" t="s">
        <v>228</v>
      </c>
      <c r="C13" s="96" t="s">
        <v>142</v>
      </c>
      <c r="D13" s="96" t="s">
        <v>142</v>
      </c>
      <c r="E13" s="96" t="s">
        <v>142</v>
      </c>
      <c r="F13" s="96" t="s">
        <v>142</v>
      </c>
      <c r="G13" s="96" t="s">
        <v>142</v>
      </c>
      <c r="H13" s="96" t="s">
        <v>142</v>
      </c>
      <c r="I13" s="96" t="s">
        <v>142</v>
      </c>
      <c r="J13" s="96" t="s">
        <v>142</v>
      </c>
      <c r="K13" s="96">
        <v>0.27272040207081588</v>
      </c>
      <c r="L13" s="96">
        <v>0.502</v>
      </c>
    </row>
    <row r="14" spans="2:12" ht="15" thickBot="1" x14ac:dyDescent="0.35">
      <c r="B14" s="306" t="s">
        <v>229</v>
      </c>
      <c r="C14" s="96" t="s">
        <v>142</v>
      </c>
      <c r="D14" s="96" t="s">
        <v>142</v>
      </c>
      <c r="E14" s="96">
        <v>0.98176153696371782</v>
      </c>
      <c r="F14" s="96">
        <v>0.98154443904808164</v>
      </c>
      <c r="G14" s="96">
        <v>0.99332450162511388</v>
      </c>
      <c r="H14" s="96">
        <v>0.98724615987061293</v>
      </c>
      <c r="I14" s="96">
        <v>0.98802526454965467</v>
      </c>
      <c r="J14" s="96">
        <v>0.99555416434751032</v>
      </c>
      <c r="K14" s="96">
        <v>0.99669584398635436</v>
      </c>
      <c r="L14" s="96">
        <v>0.997</v>
      </c>
    </row>
    <row r="15" spans="2:12" x14ac:dyDescent="0.3">
      <c r="B15" s="95" t="s">
        <v>230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2:12" x14ac:dyDescent="0.3">
      <c r="B16" s="229" t="s">
        <v>231</v>
      </c>
      <c r="C16" s="99">
        <f>C84</f>
        <v>132521.19</v>
      </c>
      <c r="D16" s="99">
        <f t="shared" ref="D16:K16" si="0">D84</f>
        <v>136604.98000000001</v>
      </c>
      <c r="E16" s="99">
        <f t="shared" si="0"/>
        <v>148530.78</v>
      </c>
      <c r="F16" s="99">
        <f t="shared" si="0"/>
        <v>157857.22</v>
      </c>
      <c r="G16" s="99">
        <f t="shared" si="0"/>
        <v>160797.65</v>
      </c>
      <c r="H16" s="99">
        <f t="shared" si="0"/>
        <v>169910.88</v>
      </c>
      <c r="I16" s="99">
        <f t="shared" si="0"/>
        <v>171346.6</v>
      </c>
      <c r="J16" s="99">
        <f t="shared" si="0"/>
        <v>174265.5</v>
      </c>
      <c r="K16" s="99">
        <f t="shared" si="0"/>
        <v>175801</v>
      </c>
      <c r="L16" s="99">
        <f t="shared" ref="L16" si="1">L84</f>
        <v>180253</v>
      </c>
    </row>
    <row r="17" spans="2:12" x14ac:dyDescent="0.3">
      <c r="B17" s="229" t="s">
        <v>232</v>
      </c>
      <c r="C17" s="99" t="str">
        <f>C93</f>
        <v>-</v>
      </c>
      <c r="D17" s="99" t="str">
        <f t="shared" ref="D17:K17" si="2">D93</f>
        <v>-</v>
      </c>
      <c r="E17" s="99" t="str">
        <f t="shared" si="2"/>
        <v>-</v>
      </c>
      <c r="F17" s="99" t="str">
        <f t="shared" si="2"/>
        <v>-</v>
      </c>
      <c r="G17" s="99" t="str">
        <f t="shared" si="2"/>
        <v>-</v>
      </c>
      <c r="H17" s="99" t="str">
        <f t="shared" si="2"/>
        <v>-</v>
      </c>
      <c r="I17" s="99" t="str">
        <f t="shared" si="2"/>
        <v>-</v>
      </c>
      <c r="J17" s="99">
        <f t="shared" si="2"/>
        <v>9730</v>
      </c>
      <c r="K17" s="99">
        <f t="shared" si="2"/>
        <v>11691</v>
      </c>
      <c r="L17" s="99">
        <f t="shared" ref="L17" si="3">L93</f>
        <v>11651.5</v>
      </c>
    </row>
    <row r="18" spans="2:12" ht="15" thickBot="1" x14ac:dyDescent="0.35">
      <c r="B18" s="229" t="s">
        <v>233</v>
      </c>
      <c r="C18" s="99">
        <f>C94</f>
        <v>24596</v>
      </c>
      <c r="D18" s="99">
        <f t="shared" ref="D18:K18" si="4">D94</f>
        <v>18992</v>
      </c>
      <c r="E18" s="99">
        <f t="shared" si="4"/>
        <v>25586</v>
      </c>
      <c r="F18" s="99">
        <f t="shared" si="4"/>
        <v>22030</v>
      </c>
      <c r="G18" s="99">
        <f t="shared" si="4"/>
        <v>29545</v>
      </c>
      <c r="H18" s="99">
        <f t="shared" si="4"/>
        <v>24212</v>
      </c>
      <c r="I18" s="99">
        <f t="shared" si="4"/>
        <v>27563</v>
      </c>
      <c r="J18" s="99">
        <f t="shared" si="4"/>
        <v>39457</v>
      </c>
      <c r="K18" s="99">
        <f t="shared" si="4"/>
        <v>45585</v>
      </c>
      <c r="L18" s="99">
        <f t="shared" ref="L18" si="5">L94</f>
        <v>43861</v>
      </c>
    </row>
    <row r="19" spans="2:12" x14ac:dyDescent="0.3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1" spans="2:12" x14ac:dyDescent="0.3">
      <c r="B21" s="103" t="s">
        <v>234</v>
      </c>
    </row>
    <row r="22" spans="2:12" x14ac:dyDescent="0.3">
      <c r="J22" s="37"/>
    </row>
    <row r="23" spans="2:12" ht="15" thickBot="1" x14ac:dyDescent="0.35">
      <c r="B23" s="104"/>
      <c r="C23" s="16">
        <v>2010</v>
      </c>
      <c r="D23" s="16">
        <v>2011</v>
      </c>
      <c r="E23" s="16">
        <v>2012</v>
      </c>
      <c r="F23" s="16">
        <v>2013</v>
      </c>
      <c r="G23" s="16">
        <v>2014</v>
      </c>
      <c r="H23" s="16">
        <v>2015</v>
      </c>
      <c r="I23" s="16">
        <v>2016</v>
      </c>
      <c r="J23" s="16">
        <v>2017</v>
      </c>
      <c r="K23" s="16">
        <v>2018</v>
      </c>
      <c r="L23" s="16">
        <v>2019</v>
      </c>
    </row>
    <row r="24" spans="2:12" x14ac:dyDescent="0.3">
      <c r="B24" s="97" t="s">
        <v>235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</row>
    <row r="25" spans="2:12" x14ac:dyDescent="0.3">
      <c r="B25" s="229" t="s">
        <v>236</v>
      </c>
      <c r="C25" s="230" t="s">
        <v>142</v>
      </c>
      <c r="D25" s="230" t="s">
        <v>142</v>
      </c>
      <c r="E25" s="230">
        <v>1</v>
      </c>
      <c r="F25" s="230">
        <v>1</v>
      </c>
      <c r="G25" s="231">
        <v>3</v>
      </c>
      <c r="H25" s="231">
        <v>6</v>
      </c>
      <c r="I25" s="231">
        <v>9</v>
      </c>
      <c r="J25" s="231">
        <v>11</v>
      </c>
      <c r="K25" s="231">
        <v>16</v>
      </c>
      <c r="L25" s="231">
        <v>16</v>
      </c>
    </row>
    <row r="26" spans="2:12" x14ac:dyDescent="0.3">
      <c r="B26" s="229" t="s">
        <v>237</v>
      </c>
      <c r="C26" s="230" t="s">
        <v>142</v>
      </c>
      <c r="D26" s="230" t="s">
        <v>142</v>
      </c>
      <c r="E26" s="231">
        <v>11</v>
      </c>
      <c r="F26" s="231">
        <v>11</v>
      </c>
      <c r="G26" s="231">
        <v>15</v>
      </c>
      <c r="H26" s="231">
        <v>34</v>
      </c>
      <c r="I26" s="231">
        <v>47</v>
      </c>
      <c r="J26" s="231">
        <v>58</v>
      </c>
      <c r="K26" s="231">
        <v>75</v>
      </c>
      <c r="L26" s="231">
        <v>75</v>
      </c>
    </row>
    <row r="27" spans="2:12" x14ac:dyDescent="0.3">
      <c r="B27" s="229" t="s">
        <v>238</v>
      </c>
      <c r="C27" s="230" t="s">
        <v>142</v>
      </c>
      <c r="D27" s="230" t="s">
        <v>142</v>
      </c>
      <c r="E27" s="231">
        <v>1</v>
      </c>
      <c r="F27" s="231">
        <v>1</v>
      </c>
      <c r="G27" s="231">
        <v>3</v>
      </c>
      <c r="H27" s="231">
        <v>6</v>
      </c>
      <c r="I27" s="231">
        <v>8</v>
      </c>
      <c r="J27" s="231">
        <v>10</v>
      </c>
      <c r="K27" s="231">
        <v>12</v>
      </c>
      <c r="L27" s="231">
        <v>12</v>
      </c>
    </row>
    <row r="28" spans="2:12" x14ac:dyDescent="0.3">
      <c r="B28" s="229" t="s">
        <v>239</v>
      </c>
      <c r="C28" s="230" t="s">
        <v>142</v>
      </c>
      <c r="D28" s="230" t="s">
        <v>142</v>
      </c>
      <c r="E28" s="231">
        <v>2</v>
      </c>
      <c r="F28" s="231">
        <v>2</v>
      </c>
      <c r="G28" s="231">
        <v>2</v>
      </c>
      <c r="H28" s="231">
        <v>5</v>
      </c>
      <c r="I28" s="231">
        <v>7</v>
      </c>
      <c r="J28" s="231">
        <v>9</v>
      </c>
      <c r="K28" s="231">
        <v>11</v>
      </c>
      <c r="L28" s="231">
        <v>11</v>
      </c>
    </row>
    <row r="29" spans="2:12" x14ac:dyDescent="0.3">
      <c r="B29" s="229" t="s">
        <v>240</v>
      </c>
      <c r="C29" s="230" t="s">
        <v>142</v>
      </c>
      <c r="D29" s="230" t="s">
        <v>142</v>
      </c>
      <c r="E29" s="231" t="s">
        <v>142</v>
      </c>
      <c r="F29" s="231" t="s">
        <v>142</v>
      </c>
      <c r="G29" s="231" t="s">
        <v>142</v>
      </c>
      <c r="H29" s="231" t="s">
        <v>142</v>
      </c>
      <c r="I29" s="231">
        <v>1</v>
      </c>
      <c r="J29" s="231">
        <v>1</v>
      </c>
      <c r="K29" s="231">
        <v>1</v>
      </c>
      <c r="L29" s="231">
        <v>1</v>
      </c>
    </row>
    <row r="30" spans="2:12" ht="15" thickBot="1" x14ac:dyDescent="0.35">
      <c r="B30" s="232" t="s">
        <v>241</v>
      </c>
      <c r="C30" s="230" t="s">
        <v>142</v>
      </c>
      <c r="D30" s="230" t="s">
        <v>142</v>
      </c>
      <c r="E30" s="233">
        <v>11</v>
      </c>
      <c r="F30" s="233">
        <v>11</v>
      </c>
      <c r="G30" s="233">
        <v>15</v>
      </c>
      <c r="H30" s="233">
        <v>34</v>
      </c>
      <c r="I30" s="233">
        <v>47</v>
      </c>
      <c r="J30" s="233">
        <v>58</v>
      </c>
      <c r="K30" s="233">
        <v>75</v>
      </c>
      <c r="L30" s="233">
        <v>75</v>
      </c>
    </row>
    <row r="31" spans="2:12" x14ac:dyDescent="0.3">
      <c r="B31" s="48" t="s">
        <v>242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2:12" x14ac:dyDescent="0.3">
      <c r="B32" s="229" t="s">
        <v>243</v>
      </c>
      <c r="C32" s="230" t="s">
        <v>142</v>
      </c>
      <c r="D32" s="231" t="s">
        <v>142</v>
      </c>
      <c r="E32" s="231" t="s">
        <v>142</v>
      </c>
      <c r="F32" s="231" t="s">
        <v>142</v>
      </c>
      <c r="G32" s="231">
        <v>12819</v>
      </c>
      <c r="H32" s="231">
        <v>5034</v>
      </c>
      <c r="I32" s="231">
        <v>6861</v>
      </c>
      <c r="J32" s="231">
        <v>10753</v>
      </c>
      <c r="K32" s="231">
        <v>5871</v>
      </c>
      <c r="L32" s="231">
        <v>10436</v>
      </c>
    </row>
    <row r="33" spans="2:12" x14ac:dyDescent="0.3">
      <c r="B33" s="229" t="s">
        <v>244</v>
      </c>
      <c r="C33" s="230" t="s">
        <v>142</v>
      </c>
      <c r="D33" s="231" t="s">
        <v>142</v>
      </c>
      <c r="E33" s="234" t="s">
        <v>142</v>
      </c>
      <c r="F33" s="234" t="s">
        <v>142</v>
      </c>
      <c r="G33" s="234">
        <v>25569</v>
      </c>
      <c r="H33" s="234">
        <v>10229</v>
      </c>
      <c r="I33" s="234">
        <v>7452</v>
      </c>
      <c r="J33" s="234">
        <v>4913</v>
      </c>
      <c r="K33" s="234">
        <v>7515</v>
      </c>
      <c r="L33" s="234">
        <v>13020</v>
      </c>
    </row>
    <row r="34" spans="2:12" ht="15" thickBot="1" x14ac:dyDescent="0.35">
      <c r="B34" s="229" t="s">
        <v>245</v>
      </c>
      <c r="C34" s="235" t="s">
        <v>142</v>
      </c>
      <c r="D34" s="228" t="s">
        <v>142</v>
      </c>
      <c r="E34" s="228" t="s">
        <v>142</v>
      </c>
      <c r="F34" s="228" t="s">
        <v>142</v>
      </c>
      <c r="G34" s="228">
        <v>6308036.3799999999</v>
      </c>
      <c r="H34" s="228">
        <v>2011152.27</v>
      </c>
      <c r="I34" s="228">
        <v>1730951.03</v>
      </c>
      <c r="J34" s="228">
        <v>1246116.3399999999</v>
      </c>
      <c r="K34" s="228">
        <v>1419378.56</v>
      </c>
      <c r="L34" s="228">
        <v>156804.20000000001</v>
      </c>
    </row>
    <row r="35" spans="2:12" x14ac:dyDescent="0.3">
      <c r="B35" s="100"/>
      <c r="C35" s="101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2:12" x14ac:dyDescent="0.3">
      <c r="B36" s="106" t="s">
        <v>246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</row>
    <row r="37" spans="2:12" x14ac:dyDescent="0.3">
      <c r="B37" s="106" t="s">
        <v>247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</row>
    <row r="38" spans="2:12" x14ac:dyDescent="0.3">
      <c r="B38" s="108"/>
      <c r="C38" s="107"/>
      <c r="D38" s="107"/>
      <c r="E38" s="107"/>
      <c r="F38" s="107"/>
      <c r="G38" s="107"/>
      <c r="H38" s="107"/>
      <c r="I38" s="107"/>
      <c r="J38" s="107"/>
      <c r="K38" s="107"/>
      <c r="L38" s="107"/>
    </row>
    <row r="39" spans="2:12" x14ac:dyDescent="0.3">
      <c r="B39" s="109"/>
    </row>
    <row r="40" spans="2:12" x14ac:dyDescent="0.3">
      <c r="B40" s="41" t="s">
        <v>248</v>
      </c>
    </row>
    <row r="41" spans="2:12" x14ac:dyDescent="0.3">
      <c r="J41" s="37"/>
    </row>
    <row r="42" spans="2:12" ht="15" thickBot="1" x14ac:dyDescent="0.35">
      <c r="B42" s="104"/>
      <c r="C42" s="16">
        <v>2010</v>
      </c>
      <c r="D42" s="16">
        <v>2011</v>
      </c>
      <c r="E42" s="16">
        <v>2012</v>
      </c>
      <c r="F42" s="16">
        <v>2013</v>
      </c>
      <c r="G42" s="16">
        <v>2014</v>
      </c>
      <c r="H42" s="16">
        <v>2015</v>
      </c>
      <c r="I42" s="16">
        <v>2016</v>
      </c>
      <c r="J42" s="16">
        <v>2017</v>
      </c>
      <c r="K42" s="16">
        <v>2018</v>
      </c>
      <c r="L42" s="16">
        <v>2019</v>
      </c>
    </row>
    <row r="43" spans="2:12" x14ac:dyDescent="0.3">
      <c r="B43" s="113" t="s">
        <v>249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2:12" ht="15" thickBot="1" x14ac:dyDescent="0.35">
      <c r="B44" s="227" t="s">
        <v>250</v>
      </c>
      <c r="C44" s="203" t="s">
        <v>142</v>
      </c>
      <c r="D44" s="203" t="s">
        <v>142</v>
      </c>
      <c r="E44" s="231">
        <v>4</v>
      </c>
      <c r="F44" s="231">
        <v>4</v>
      </c>
      <c r="G44" s="231">
        <v>4</v>
      </c>
      <c r="H44" s="231">
        <v>4</v>
      </c>
      <c r="I44" s="231">
        <v>4</v>
      </c>
      <c r="J44" s="231">
        <v>4</v>
      </c>
      <c r="K44" s="231">
        <v>4</v>
      </c>
      <c r="L44" s="231">
        <v>4</v>
      </c>
    </row>
    <row r="45" spans="2:12" x14ac:dyDescent="0.3">
      <c r="B45" s="113" t="s">
        <v>251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2:12" x14ac:dyDescent="0.3">
      <c r="B46" s="227" t="s">
        <v>252</v>
      </c>
      <c r="C46" s="231">
        <v>42</v>
      </c>
      <c r="D46" s="231">
        <v>42</v>
      </c>
      <c r="E46" s="231">
        <v>44</v>
      </c>
      <c r="F46" s="231">
        <v>49</v>
      </c>
      <c r="G46" s="231">
        <v>49</v>
      </c>
      <c r="H46" s="231">
        <v>49</v>
      </c>
      <c r="I46" s="231">
        <v>49</v>
      </c>
      <c r="J46" s="231">
        <v>49</v>
      </c>
      <c r="K46" s="231">
        <v>49</v>
      </c>
      <c r="L46" s="231">
        <v>49</v>
      </c>
    </row>
    <row r="47" spans="2:12" x14ac:dyDescent="0.3">
      <c r="B47" s="227" t="s">
        <v>253</v>
      </c>
      <c r="C47" s="203" t="s">
        <v>142</v>
      </c>
      <c r="D47" s="203" t="s">
        <v>142</v>
      </c>
      <c r="E47" s="203" t="s">
        <v>142</v>
      </c>
      <c r="F47" s="203" t="s">
        <v>142</v>
      </c>
      <c r="G47" s="203" t="s">
        <v>142</v>
      </c>
      <c r="H47" s="231">
        <v>6</v>
      </c>
      <c r="I47" s="231">
        <v>7</v>
      </c>
      <c r="J47" s="231">
        <v>11</v>
      </c>
      <c r="K47" s="231">
        <v>22</v>
      </c>
      <c r="L47" s="231">
        <v>40</v>
      </c>
    </row>
    <row r="48" spans="2:12" x14ac:dyDescent="0.3">
      <c r="B48" s="227" t="s">
        <v>254</v>
      </c>
      <c r="C48" s="231">
        <v>10</v>
      </c>
      <c r="D48" s="231">
        <v>14</v>
      </c>
      <c r="E48" s="231">
        <v>49</v>
      </c>
      <c r="F48" s="231">
        <v>49</v>
      </c>
      <c r="G48" s="231">
        <v>49</v>
      </c>
      <c r="H48" s="231">
        <v>49</v>
      </c>
      <c r="I48" s="231">
        <v>49</v>
      </c>
      <c r="J48" s="231">
        <v>49</v>
      </c>
      <c r="K48" s="231">
        <v>49</v>
      </c>
      <c r="L48" s="231">
        <v>49</v>
      </c>
    </row>
    <row r="49" spans="2:12" x14ac:dyDescent="0.3">
      <c r="B49" s="227" t="s">
        <v>255</v>
      </c>
      <c r="C49" s="231">
        <v>7</v>
      </c>
      <c r="D49" s="231">
        <v>39</v>
      </c>
      <c r="E49" s="231">
        <v>49</v>
      </c>
      <c r="F49" s="231">
        <v>49</v>
      </c>
      <c r="G49" s="231">
        <v>49</v>
      </c>
      <c r="H49" s="231">
        <v>49</v>
      </c>
      <c r="I49" s="231">
        <v>49</v>
      </c>
      <c r="J49" s="231">
        <v>49</v>
      </c>
      <c r="K49" s="231">
        <v>49</v>
      </c>
      <c r="L49" s="231">
        <v>49</v>
      </c>
    </row>
    <row r="50" spans="2:12" x14ac:dyDescent="0.3">
      <c r="B50" s="227" t="s">
        <v>256</v>
      </c>
      <c r="C50" s="231" t="s">
        <v>142</v>
      </c>
      <c r="D50" s="231" t="s">
        <v>142</v>
      </c>
      <c r="E50" s="231" t="s">
        <v>142</v>
      </c>
      <c r="F50" s="231" t="s">
        <v>142</v>
      </c>
      <c r="G50" s="231" t="s">
        <v>142</v>
      </c>
      <c r="H50" s="231">
        <v>5</v>
      </c>
      <c r="I50" s="231">
        <v>10</v>
      </c>
      <c r="J50" s="231">
        <v>15</v>
      </c>
      <c r="K50" s="231">
        <v>25</v>
      </c>
      <c r="L50" s="231">
        <v>43</v>
      </c>
    </row>
    <row r="51" spans="2:12" x14ac:dyDescent="0.3">
      <c r="B51" s="227" t="s">
        <v>257</v>
      </c>
      <c r="C51" s="231" t="s">
        <v>142</v>
      </c>
      <c r="D51" s="231">
        <v>1</v>
      </c>
      <c r="E51" s="231">
        <v>4</v>
      </c>
      <c r="F51" s="231">
        <v>5</v>
      </c>
      <c r="G51" s="231">
        <v>7</v>
      </c>
      <c r="H51" s="231">
        <v>9</v>
      </c>
      <c r="I51" s="231">
        <v>10</v>
      </c>
      <c r="J51" s="231">
        <v>16</v>
      </c>
      <c r="K51" s="231">
        <v>21</v>
      </c>
      <c r="L51" s="231">
        <v>27</v>
      </c>
    </row>
    <row r="52" spans="2:12" x14ac:dyDescent="0.3">
      <c r="B52" s="227" t="s">
        <v>258</v>
      </c>
      <c r="C52" s="203" t="s">
        <v>142</v>
      </c>
      <c r="D52" s="203" t="s">
        <v>142</v>
      </c>
      <c r="E52" s="203" t="s">
        <v>142</v>
      </c>
      <c r="F52" s="203" t="s">
        <v>142</v>
      </c>
      <c r="G52" s="203" t="s">
        <v>142</v>
      </c>
      <c r="H52" s="203" t="s">
        <v>142</v>
      </c>
      <c r="I52" s="203" t="s">
        <v>142</v>
      </c>
      <c r="J52" s="231">
        <v>16</v>
      </c>
      <c r="K52" s="231">
        <v>49</v>
      </c>
      <c r="L52" s="231">
        <v>49</v>
      </c>
    </row>
    <row r="53" spans="2:12" ht="15" thickBot="1" x14ac:dyDescent="0.35">
      <c r="B53" s="236" t="s">
        <v>259</v>
      </c>
      <c r="C53" s="234">
        <v>13</v>
      </c>
      <c r="D53" s="234">
        <v>13</v>
      </c>
      <c r="E53" s="234">
        <v>14</v>
      </c>
      <c r="F53" s="234">
        <v>14</v>
      </c>
      <c r="G53" s="234">
        <v>15</v>
      </c>
      <c r="H53" s="234">
        <v>16</v>
      </c>
      <c r="I53" s="234">
        <v>18</v>
      </c>
      <c r="J53" s="234">
        <v>18</v>
      </c>
      <c r="K53" s="234">
        <v>19</v>
      </c>
      <c r="L53" s="234">
        <v>20</v>
      </c>
    </row>
    <row r="54" spans="2:12" x14ac:dyDescent="0.3">
      <c r="B54" s="163" t="s">
        <v>260</v>
      </c>
      <c r="C54" s="164" t="s">
        <v>142</v>
      </c>
      <c r="D54" s="164" t="s">
        <v>142</v>
      </c>
      <c r="E54" s="164">
        <f t="shared" ref="E54:K54" si="6">SUM(E55:E59)</f>
        <v>1</v>
      </c>
      <c r="F54" s="164">
        <f t="shared" si="6"/>
        <v>12</v>
      </c>
      <c r="G54" s="164">
        <f t="shared" si="6"/>
        <v>57</v>
      </c>
      <c r="H54" s="164">
        <f t="shared" si="6"/>
        <v>111</v>
      </c>
      <c r="I54" s="164">
        <f t="shared" si="6"/>
        <v>146</v>
      </c>
      <c r="J54" s="164">
        <f t="shared" si="6"/>
        <v>214</v>
      </c>
      <c r="K54" s="164">
        <f t="shared" si="6"/>
        <v>283</v>
      </c>
      <c r="L54" s="164">
        <f t="shared" ref="L54" si="7">SUM(L55:L59)</f>
        <v>363</v>
      </c>
    </row>
    <row r="55" spans="2:12" x14ac:dyDescent="0.3">
      <c r="B55" s="227" t="s">
        <v>261</v>
      </c>
      <c r="C55" s="203" t="s">
        <v>142</v>
      </c>
      <c r="D55" s="203" t="s">
        <v>142</v>
      </c>
      <c r="E55" s="231">
        <v>1</v>
      </c>
      <c r="F55" s="231">
        <v>12</v>
      </c>
      <c r="G55" s="231">
        <v>56</v>
      </c>
      <c r="H55" s="231">
        <v>103</v>
      </c>
      <c r="I55" s="231">
        <v>121</v>
      </c>
      <c r="J55" s="231">
        <v>161</v>
      </c>
      <c r="K55" s="231">
        <v>170</v>
      </c>
      <c r="L55" s="231">
        <v>173</v>
      </c>
    </row>
    <row r="56" spans="2:12" x14ac:dyDescent="0.3">
      <c r="B56" s="227" t="s">
        <v>262</v>
      </c>
      <c r="C56" s="203" t="s">
        <v>142</v>
      </c>
      <c r="D56" s="203" t="s">
        <v>142</v>
      </c>
      <c r="E56" s="203" t="s">
        <v>142</v>
      </c>
      <c r="F56" s="203" t="s">
        <v>142</v>
      </c>
      <c r="G56" s="203" t="s">
        <v>142</v>
      </c>
      <c r="H56" s="203" t="s">
        <v>142</v>
      </c>
      <c r="I56" s="203" t="s">
        <v>142</v>
      </c>
      <c r="J56" s="203" t="s">
        <v>142</v>
      </c>
      <c r="K56" s="203" t="s">
        <v>142</v>
      </c>
      <c r="L56" s="203" t="s">
        <v>142</v>
      </c>
    </row>
    <row r="57" spans="2:12" x14ac:dyDescent="0.3">
      <c r="B57" s="227" t="s">
        <v>263</v>
      </c>
      <c r="C57" s="203" t="s">
        <v>142</v>
      </c>
      <c r="D57" s="203" t="s">
        <v>142</v>
      </c>
      <c r="E57" s="203" t="s">
        <v>142</v>
      </c>
      <c r="F57" s="203" t="s">
        <v>142</v>
      </c>
      <c r="G57" s="203" t="s">
        <v>142</v>
      </c>
      <c r="H57" s="203" t="s">
        <v>142</v>
      </c>
      <c r="I57" s="203" t="s">
        <v>142</v>
      </c>
      <c r="J57" s="231">
        <v>1</v>
      </c>
      <c r="K57" s="231">
        <v>44</v>
      </c>
      <c r="L57" s="231">
        <v>116</v>
      </c>
    </row>
    <row r="58" spans="2:12" x14ac:dyDescent="0.3">
      <c r="B58" s="227" t="s">
        <v>264</v>
      </c>
      <c r="C58" s="203" t="s">
        <v>142</v>
      </c>
      <c r="D58" s="203" t="s">
        <v>142</v>
      </c>
      <c r="E58" s="203" t="s">
        <v>142</v>
      </c>
      <c r="F58" s="203" t="s">
        <v>142</v>
      </c>
      <c r="G58" s="203" t="s">
        <v>142</v>
      </c>
      <c r="H58" s="203" t="s">
        <v>142</v>
      </c>
      <c r="I58" s="203" t="s">
        <v>142</v>
      </c>
      <c r="J58" s="203" t="s">
        <v>142</v>
      </c>
      <c r="K58" s="231">
        <v>17</v>
      </c>
      <c r="L58" s="231">
        <v>20</v>
      </c>
    </row>
    <row r="59" spans="2:12" ht="15" thickBot="1" x14ac:dyDescent="0.35">
      <c r="B59" s="237" t="s">
        <v>109</v>
      </c>
      <c r="C59" s="231" t="s">
        <v>142</v>
      </c>
      <c r="D59" s="231" t="s">
        <v>142</v>
      </c>
      <c r="E59" s="233" t="s">
        <v>142</v>
      </c>
      <c r="F59" s="233" t="s">
        <v>142</v>
      </c>
      <c r="G59" s="233">
        <v>1</v>
      </c>
      <c r="H59" s="233">
        <v>8</v>
      </c>
      <c r="I59" s="233">
        <v>25</v>
      </c>
      <c r="J59" s="233">
        <v>52</v>
      </c>
      <c r="K59" s="233">
        <v>52</v>
      </c>
      <c r="L59" s="233">
        <v>54</v>
      </c>
    </row>
    <row r="60" spans="2:12" x14ac:dyDescent="0.3">
      <c r="B60" s="100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  <row r="61" spans="2:12" x14ac:dyDescent="0.3">
      <c r="B61" s="56" t="s">
        <v>265</v>
      </c>
    </row>
    <row r="62" spans="2:12" x14ac:dyDescent="0.3">
      <c r="B62" s="56" t="s">
        <v>266</v>
      </c>
    </row>
    <row r="63" spans="2:12" x14ac:dyDescent="0.3">
      <c r="B63" s="56" t="s">
        <v>267</v>
      </c>
    </row>
    <row r="64" spans="2:12" x14ac:dyDescent="0.3">
      <c r="B64" s="108"/>
      <c r="C64" s="107"/>
      <c r="D64" s="107"/>
      <c r="E64" s="107"/>
      <c r="F64" s="107"/>
      <c r="G64" s="107"/>
      <c r="H64" s="107"/>
      <c r="I64" s="107"/>
      <c r="J64" s="107"/>
      <c r="K64" s="107"/>
      <c r="L64" s="107"/>
    </row>
    <row r="65" spans="2:12" x14ac:dyDescent="0.3">
      <c r="B65" s="108"/>
      <c r="C65" s="107"/>
      <c r="D65" s="107"/>
      <c r="E65" s="107"/>
      <c r="F65" s="107"/>
      <c r="G65" s="107"/>
      <c r="H65" s="107"/>
      <c r="I65" s="107"/>
      <c r="J65" s="107"/>
      <c r="K65" s="159"/>
      <c r="L65" s="159"/>
    </row>
    <row r="66" spans="2:12" x14ac:dyDescent="0.3">
      <c r="B66" s="160" t="s">
        <v>268</v>
      </c>
      <c r="C66" s="161"/>
      <c r="D66" s="161"/>
      <c r="E66" s="161"/>
      <c r="F66" s="161"/>
      <c r="G66" s="161"/>
      <c r="H66" s="161"/>
      <c r="I66" s="161"/>
      <c r="J66" s="161"/>
      <c r="K66" s="161"/>
      <c r="L66" s="161"/>
    </row>
    <row r="67" spans="2:12" x14ac:dyDescent="0.3">
      <c r="J67" s="37"/>
    </row>
    <row r="68" spans="2:12" ht="15" thickBot="1" x14ac:dyDescent="0.35">
      <c r="B68" s="104"/>
      <c r="C68" s="16">
        <v>2010</v>
      </c>
      <c r="D68" s="16">
        <v>2011</v>
      </c>
      <c r="E68" s="16">
        <v>2012</v>
      </c>
      <c r="F68" s="16">
        <v>2013</v>
      </c>
      <c r="G68" s="16">
        <v>2014</v>
      </c>
      <c r="H68" s="16">
        <v>2015</v>
      </c>
      <c r="I68" s="16">
        <v>2016</v>
      </c>
      <c r="J68" s="16">
        <v>2017</v>
      </c>
      <c r="K68" s="16">
        <v>2018</v>
      </c>
      <c r="L68" s="16">
        <v>2019</v>
      </c>
    </row>
    <row r="69" spans="2:12" x14ac:dyDescent="0.3">
      <c r="B69" s="113" t="s">
        <v>269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</row>
    <row r="70" spans="2:12" ht="28.8" x14ac:dyDescent="0.3">
      <c r="B70" s="229" t="s">
        <v>270</v>
      </c>
      <c r="C70" s="203">
        <v>1599</v>
      </c>
      <c r="D70" s="203">
        <v>3905</v>
      </c>
      <c r="E70" s="203">
        <v>20246</v>
      </c>
      <c r="F70" s="203">
        <v>99730</v>
      </c>
      <c r="G70" s="203">
        <v>134346</v>
      </c>
      <c r="H70" s="203">
        <v>123114</v>
      </c>
      <c r="I70" s="203">
        <v>212021</v>
      </c>
      <c r="J70" s="203">
        <v>282469</v>
      </c>
      <c r="K70" s="203">
        <v>341712</v>
      </c>
      <c r="L70" s="203">
        <v>587250</v>
      </c>
    </row>
    <row r="71" spans="2:12" ht="15" customHeight="1" x14ac:dyDescent="0.3">
      <c r="B71" s="229" t="s">
        <v>271</v>
      </c>
      <c r="C71" s="203" t="s">
        <v>142</v>
      </c>
      <c r="D71" s="203" t="s">
        <v>142</v>
      </c>
      <c r="E71" s="203" t="s">
        <v>142</v>
      </c>
      <c r="F71" s="203" t="s">
        <v>142</v>
      </c>
      <c r="G71" s="203" t="s">
        <v>142</v>
      </c>
      <c r="H71" s="203" t="s">
        <v>142</v>
      </c>
      <c r="I71" s="203" t="s">
        <v>142</v>
      </c>
      <c r="J71" s="203" t="s">
        <v>142</v>
      </c>
      <c r="K71" s="203">
        <v>79387</v>
      </c>
      <c r="L71" s="203">
        <v>233328</v>
      </c>
    </row>
    <row r="72" spans="2:12" x14ac:dyDescent="0.3">
      <c r="B72" s="229" t="s">
        <v>272</v>
      </c>
      <c r="C72" s="203" t="s">
        <v>142</v>
      </c>
      <c r="D72" s="203" t="s">
        <v>142</v>
      </c>
      <c r="E72" s="203" t="s">
        <v>142</v>
      </c>
      <c r="F72" s="203">
        <v>131</v>
      </c>
      <c r="G72" s="203">
        <v>128</v>
      </c>
      <c r="H72" s="203">
        <v>43565</v>
      </c>
      <c r="I72" s="203">
        <v>700195</v>
      </c>
      <c r="J72" s="203">
        <v>909187</v>
      </c>
      <c r="K72" s="203">
        <v>1271035</v>
      </c>
      <c r="L72" s="203">
        <v>1660489</v>
      </c>
    </row>
    <row r="73" spans="2:12" ht="15" thickBot="1" x14ac:dyDescent="0.35">
      <c r="B73" s="229" t="s">
        <v>273</v>
      </c>
      <c r="C73" s="203" t="s">
        <v>142</v>
      </c>
      <c r="D73" s="203" t="s">
        <v>142</v>
      </c>
      <c r="E73" s="203">
        <v>15126</v>
      </c>
      <c r="F73" s="203">
        <v>60630</v>
      </c>
      <c r="G73" s="203">
        <v>749067</v>
      </c>
      <c r="H73" s="203">
        <v>1762265</v>
      </c>
      <c r="I73" s="203">
        <v>2785839</v>
      </c>
      <c r="J73" s="203">
        <v>3870623</v>
      </c>
      <c r="K73" s="203">
        <v>4757912</v>
      </c>
      <c r="L73" s="203">
        <v>5752236</v>
      </c>
    </row>
    <row r="74" spans="2:12" x14ac:dyDescent="0.3">
      <c r="B74" s="113" t="s">
        <v>274</v>
      </c>
      <c r="C74" s="47"/>
      <c r="D74" s="47"/>
      <c r="E74" s="47"/>
      <c r="F74" s="47"/>
      <c r="G74" s="47"/>
      <c r="H74" s="47"/>
      <c r="I74" s="47"/>
      <c r="J74" s="47"/>
      <c r="K74" s="47"/>
      <c r="L74" s="47"/>
    </row>
    <row r="75" spans="2:12" x14ac:dyDescent="0.3">
      <c r="B75" s="229" t="s">
        <v>275</v>
      </c>
      <c r="C75" s="203">
        <v>203934</v>
      </c>
      <c r="D75" s="203">
        <v>234228</v>
      </c>
      <c r="E75" s="203">
        <v>233106</v>
      </c>
      <c r="F75" s="203">
        <v>229909</v>
      </c>
      <c r="G75" s="203">
        <v>247277</v>
      </c>
      <c r="H75" s="203">
        <v>256725</v>
      </c>
      <c r="I75" s="203">
        <v>247819</v>
      </c>
      <c r="J75" s="203">
        <v>244010</v>
      </c>
      <c r="K75" s="203">
        <v>251679</v>
      </c>
      <c r="L75" s="203">
        <v>263333</v>
      </c>
    </row>
    <row r="76" spans="2:12" x14ac:dyDescent="0.3">
      <c r="B76" s="229" t="s">
        <v>276</v>
      </c>
      <c r="C76" s="203" t="s">
        <v>142</v>
      </c>
      <c r="D76" s="203" t="s">
        <v>142</v>
      </c>
      <c r="E76" s="203" t="s">
        <v>142</v>
      </c>
      <c r="F76" s="203" t="s">
        <v>142</v>
      </c>
      <c r="G76" s="203" t="s">
        <v>142</v>
      </c>
      <c r="H76" s="203" t="s">
        <v>142</v>
      </c>
      <c r="I76" s="203">
        <v>2920</v>
      </c>
      <c r="J76" s="203">
        <v>7707</v>
      </c>
      <c r="K76" s="203">
        <v>11965</v>
      </c>
      <c r="L76" s="203">
        <v>13453</v>
      </c>
    </row>
    <row r="77" spans="2:12" s="110" customFormat="1" ht="15" thickBot="1" x14ac:dyDescent="0.35">
      <c r="B77" s="162" t="s">
        <v>277</v>
      </c>
      <c r="C77" s="52" t="s">
        <v>142</v>
      </c>
      <c r="D77" s="52" t="s">
        <v>142</v>
      </c>
      <c r="E77" s="52" t="s">
        <v>142</v>
      </c>
      <c r="F77" s="52" t="s">
        <v>142</v>
      </c>
      <c r="G77" s="52" t="s">
        <v>142</v>
      </c>
      <c r="H77" s="52" t="s">
        <v>142</v>
      </c>
      <c r="I77" s="52" t="s">
        <v>142</v>
      </c>
      <c r="J77" s="52">
        <v>896</v>
      </c>
      <c r="K77" s="52">
        <v>1719</v>
      </c>
      <c r="L77" s="52">
        <v>17185</v>
      </c>
    </row>
    <row r="78" spans="2:12" x14ac:dyDescent="0.3">
      <c r="B78" s="56"/>
    </row>
    <row r="79" spans="2:12" x14ac:dyDescent="0.3">
      <c r="B79" s="56"/>
    </row>
    <row r="80" spans="2:12" x14ac:dyDescent="0.3">
      <c r="B80" s="103" t="s">
        <v>278</v>
      </c>
      <c r="C80" s="7"/>
      <c r="D80" s="7"/>
      <c r="E80" s="7"/>
      <c r="F80" s="7"/>
      <c r="G80" s="64"/>
      <c r="H80" s="7"/>
      <c r="I80" s="7"/>
      <c r="J80" s="7"/>
    </row>
    <row r="81" spans="2:12" x14ac:dyDescent="0.3">
      <c r="C81" s="7"/>
      <c r="D81" s="7"/>
      <c r="E81" s="7"/>
      <c r="F81" s="7"/>
      <c r="G81" s="7"/>
      <c r="H81" s="7"/>
      <c r="I81" s="7"/>
      <c r="J81" s="7"/>
    </row>
    <row r="82" spans="2:12" ht="15" thickBot="1" x14ac:dyDescent="0.35">
      <c r="B82" s="111"/>
      <c r="C82" s="94">
        <v>2010</v>
      </c>
      <c r="D82" s="94">
        <v>2011</v>
      </c>
      <c r="E82" s="94">
        <v>2012</v>
      </c>
      <c r="F82" s="94">
        <v>2013</v>
      </c>
      <c r="G82" s="94">
        <v>2014</v>
      </c>
      <c r="H82" s="94">
        <v>2015</v>
      </c>
      <c r="I82" s="94">
        <v>2016</v>
      </c>
      <c r="J82" s="94">
        <v>2017</v>
      </c>
      <c r="K82" s="94">
        <v>2018</v>
      </c>
      <c r="L82" s="94">
        <v>2019</v>
      </c>
    </row>
    <row r="83" spans="2:12" x14ac:dyDescent="0.3">
      <c r="B83" s="204" t="s">
        <v>279</v>
      </c>
      <c r="C83" s="205"/>
      <c r="D83" s="205"/>
      <c r="E83" s="205"/>
      <c r="F83" s="205"/>
      <c r="G83" s="205"/>
      <c r="H83" s="205"/>
      <c r="I83" s="205"/>
      <c r="J83" s="205"/>
      <c r="K83" s="205"/>
      <c r="L83" s="205"/>
    </row>
    <row r="84" spans="2:12" x14ac:dyDescent="0.3">
      <c r="B84" s="229" t="s">
        <v>231</v>
      </c>
      <c r="C84" s="231">
        <v>132521.19</v>
      </c>
      <c r="D84" s="231">
        <v>136604.98000000001</v>
      </c>
      <c r="E84" s="231">
        <v>148530.78</v>
      </c>
      <c r="F84" s="231">
        <v>157857.22</v>
      </c>
      <c r="G84" s="231">
        <v>160797.65</v>
      </c>
      <c r="H84" s="231">
        <v>169910.88</v>
      </c>
      <c r="I84" s="231">
        <v>171346.6</v>
      </c>
      <c r="J84" s="231">
        <v>174265.5</v>
      </c>
      <c r="K84" s="231">
        <v>175801</v>
      </c>
      <c r="L84" s="231">
        <v>180253</v>
      </c>
    </row>
    <row r="85" spans="2:12" x14ac:dyDescent="0.3">
      <c r="B85" s="229" t="s">
        <v>280</v>
      </c>
      <c r="C85" s="231">
        <v>112464</v>
      </c>
      <c r="D85" s="231">
        <v>164118</v>
      </c>
      <c r="E85" s="231">
        <v>175045</v>
      </c>
      <c r="F85" s="231">
        <v>202964</v>
      </c>
      <c r="G85" s="231">
        <v>217636</v>
      </c>
      <c r="H85" s="231">
        <v>271829</v>
      </c>
      <c r="I85" s="231">
        <v>236683</v>
      </c>
      <c r="J85" s="231">
        <v>214844</v>
      </c>
      <c r="K85" s="231">
        <v>253420</v>
      </c>
      <c r="L85" s="231">
        <v>226777</v>
      </c>
    </row>
    <row r="86" spans="2:12" x14ac:dyDescent="0.3">
      <c r="B86" s="229" t="s">
        <v>281</v>
      </c>
      <c r="C86" s="231">
        <v>20502.13</v>
      </c>
      <c r="D86" s="231">
        <v>19671.47</v>
      </c>
      <c r="E86" s="231">
        <v>15452.73</v>
      </c>
      <c r="F86" s="231">
        <v>15614.65</v>
      </c>
      <c r="G86" s="231">
        <v>14899.69</v>
      </c>
      <c r="H86" s="231">
        <v>31210.2</v>
      </c>
      <c r="I86" s="231">
        <v>36615.54</v>
      </c>
      <c r="J86" s="231">
        <v>12676.58</v>
      </c>
      <c r="K86" s="231">
        <v>17952</v>
      </c>
      <c r="L86" s="231">
        <v>15868.9</v>
      </c>
    </row>
    <row r="87" spans="2:12" ht="15" thickBot="1" x14ac:dyDescent="0.35">
      <c r="B87" s="232" t="s">
        <v>282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7.08</v>
      </c>
      <c r="I87" s="233">
        <v>0</v>
      </c>
      <c r="J87" s="233">
        <v>850.98</v>
      </c>
      <c r="K87" s="233">
        <v>221</v>
      </c>
      <c r="L87" s="233">
        <v>457.34</v>
      </c>
    </row>
    <row r="88" spans="2:12" x14ac:dyDescent="0.3">
      <c r="B88" s="105" t="s">
        <v>283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</row>
    <row r="89" spans="2:12" x14ac:dyDescent="0.3">
      <c r="B89" s="229" t="s">
        <v>284</v>
      </c>
      <c r="C89" s="231">
        <v>107879</v>
      </c>
      <c r="D89" s="231">
        <v>107647</v>
      </c>
      <c r="E89" s="231">
        <v>108833</v>
      </c>
      <c r="F89" s="231">
        <v>110141</v>
      </c>
      <c r="G89" s="231">
        <v>111445</v>
      </c>
      <c r="H89" s="231">
        <v>112944</v>
      </c>
      <c r="I89" s="231">
        <v>109394</v>
      </c>
      <c r="J89" s="231">
        <v>110746</v>
      </c>
      <c r="K89" s="231">
        <v>112480</v>
      </c>
      <c r="L89" s="231" t="s">
        <v>285</v>
      </c>
    </row>
    <row r="90" spans="2:12" x14ac:dyDescent="0.3">
      <c r="B90" s="229" t="s">
        <v>286</v>
      </c>
      <c r="C90" s="231">
        <v>25952</v>
      </c>
      <c r="D90" s="231">
        <v>25460</v>
      </c>
      <c r="E90" s="231">
        <v>26435</v>
      </c>
      <c r="F90" s="231">
        <v>33712</v>
      </c>
      <c r="G90" s="231">
        <v>30852</v>
      </c>
      <c r="H90" s="231">
        <v>27735</v>
      </c>
      <c r="I90" s="231">
        <v>28774</v>
      </c>
      <c r="J90" s="231">
        <v>30707</v>
      </c>
      <c r="K90" s="231">
        <v>34740</v>
      </c>
      <c r="L90" s="231" t="s">
        <v>287</v>
      </c>
    </row>
    <row r="91" spans="2:12" ht="15" thickBot="1" x14ac:dyDescent="0.35">
      <c r="B91" s="232" t="s">
        <v>288</v>
      </c>
      <c r="C91" s="233" t="s">
        <v>142</v>
      </c>
      <c r="D91" s="233" t="s">
        <v>142</v>
      </c>
      <c r="E91" s="233" t="s">
        <v>142</v>
      </c>
      <c r="F91" s="233" t="s">
        <v>142</v>
      </c>
      <c r="G91" s="233">
        <v>3983</v>
      </c>
      <c r="H91" s="233">
        <v>3979</v>
      </c>
      <c r="I91" s="233">
        <v>3117</v>
      </c>
      <c r="J91" s="233">
        <v>3468</v>
      </c>
      <c r="K91" s="233" t="s">
        <v>289</v>
      </c>
      <c r="L91" s="233" t="s">
        <v>290</v>
      </c>
    </row>
    <row r="92" spans="2:12" x14ac:dyDescent="0.3">
      <c r="B92" s="105" t="s">
        <v>291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2:12" x14ac:dyDescent="0.3">
      <c r="B93" s="229" t="s">
        <v>232</v>
      </c>
      <c r="C93" s="231" t="s">
        <v>142</v>
      </c>
      <c r="D93" s="231" t="s">
        <v>142</v>
      </c>
      <c r="E93" s="231" t="s">
        <v>142</v>
      </c>
      <c r="F93" s="231" t="s">
        <v>142</v>
      </c>
      <c r="G93" s="231" t="s">
        <v>142</v>
      </c>
      <c r="H93" s="231" t="s">
        <v>142</v>
      </c>
      <c r="I93" s="231" t="s">
        <v>142</v>
      </c>
      <c r="J93" s="231">
        <v>9730</v>
      </c>
      <c r="K93" s="231">
        <v>11691</v>
      </c>
      <c r="L93" s="231">
        <v>11651.5</v>
      </c>
    </row>
    <row r="94" spans="2:12" x14ac:dyDescent="0.3">
      <c r="B94" s="229" t="s">
        <v>233</v>
      </c>
      <c r="C94" s="231">
        <v>24596</v>
      </c>
      <c r="D94" s="231">
        <v>18992</v>
      </c>
      <c r="E94" s="231">
        <v>25586</v>
      </c>
      <c r="F94" s="231">
        <v>22030</v>
      </c>
      <c r="G94" s="231">
        <v>29545</v>
      </c>
      <c r="H94" s="231">
        <v>24212</v>
      </c>
      <c r="I94" s="231">
        <v>27563</v>
      </c>
      <c r="J94" s="231">
        <v>39457</v>
      </c>
      <c r="K94" s="231">
        <v>45585</v>
      </c>
      <c r="L94" s="231">
        <v>43861</v>
      </c>
    </row>
    <row r="95" spans="2:12" ht="28.8" x14ac:dyDescent="0.3">
      <c r="B95" s="229" t="s">
        <v>292</v>
      </c>
      <c r="C95" s="231">
        <v>2434</v>
      </c>
      <c r="D95" s="231">
        <v>2859</v>
      </c>
      <c r="E95" s="231">
        <v>5357</v>
      </c>
      <c r="F95" s="231">
        <v>8567</v>
      </c>
      <c r="G95" s="231">
        <v>11811</v>
      </c>
      <c r="H95" s="231">
        <v>12285</v>
      </c>
      <c r="I95" s="231">
        <v>15810</v>
      </c>
      <c r="J95" s="231">
        <v>16284</v>
      </c>
      <c r="K95" s="231">
        <v>17644</v>
      </c>
      <c r="L95" s="231">
        <v>20261</v>
      </c>
    </row>
    <row r="96" spans="2:12" ht="15" thickBot="1" x14ac:dyDescent="0.35">
      <c r="B96" s="229" t="s">
        <v>293</v>
      </c>
      <c r="C96" s="231" t="s">
        <v>142</v>
      </c>
      <c r="D96" s="231" t="s">
        <v>142</v>
      </c>
      <c r="E96" s="231" t="s">
        <v>142</v>
      </c>
      <c r="F96" s="231" t="s">
        <v>142</v>
      </c>
      <c r="G96" s="231" t="s">
        <v>142</v>
      </c>
      <c r="H96" s="231" t="s">
        <v>142</v>
      </c>
      <c r="I96" s="231" t="s">
        <v>142</v>
      </c>
      <c r="J96" s="231">
        <v>300</v>
      </c>
      <c r="K96" s="231">
        <v>322</v>
      </c>
      <c r="L96" s="231">
        <v>274</v>
      </c>
    </row>
    <row r="97" spans="2:12" x14ac:dyDescent="0.3"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</row>
    <row r="98" spans="2:12" x14ac:dyDescent="0.3">
      <c r="B98" s="102" t="s">
        <v>294</v>
      </c>
    </row>
    <row r="99" spans="2:12" x14ac:dyDescent="0.3">
      <c r="B99" s="102" t="s">
        <v>295</v>
      </c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/>
  </sheetViews>
  <sheetFormatPr defaultColWidth="9.109375" defaultRowHeight="13.2" x14ac:dyDescent="0.25"/>
  <cols>
    <col min="1" max="1" width="9.109375" style="131"/>
    <col min="2" max="2" width="58.6640625" style="132" customWidth="1"/>
    <col min="3" max="12" width="11.6640625" style="132" customWidth="1"/>
    <col min="13" max="16384" width="9.109375" style="132"/>
  </cols>
  <sheetData>
    <row r="1" spans="1:12" ht="14.4" x14ac:dyDescent="0.3">
      <c r="B1" s="133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7.399999999999999" x14ac:dyDescent="0.35">
      <c r="B2" s="166" t="s">
        <v>296</v>
      </c>
      <c r="C2" s="21"/>
      <c r="D2" s="21"/>
      <c r="E2" s="21"/>
      <c r="F2" s="21"/>
      <c r="G2" s="21"/>
      <c r="H2" s="79"/>
      <c r="I2" s="79"/>
      <c r="J2" s="79"/>
      <c r="K2" s="79"/>
      <c r="L2" s="79"/>
    </row>
    <row r="3" spans="1:12" ht="14.4" x14ac:dyDescent="0.3">
      <c r="B3" s="133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4.4" x14ac:dyDescent="0.3">
      <c r="B4" s="133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14.4" x14ac:dyDescent="0.3">
      <c r="B5" s="22" t="s">
        <v>297</v>
      </c>
      <c r="C5" s="134"/>
      <c r="D5" s="134"/>
      <c r="E5" s="134"/>
      <c r="F5" s="134"/>
      <c r="G5" s="134"/>
      <c r="H5" s="134"/>
      <c r="I5" s="134"/>
      <c r="J5" s="134"/>
      <c r="K5" s="134"/>
    </row>
    <row r="6" spans="1:12" ht="28.8" x14ac:dyDescent="0.3">
      <c r="B6" s="22"/>
      <c r="C6" s="134"/>
      <c r="D6" s="134"/>
      <c r="E6" s="134"/>
      <c r="F6" s="134"/>
      <c r="G6" s="134"/>
      <c r="H6" s="134"/>
      <c r="I6" s="134"/>
      <c r="J6" s="134"/>
      <c r="K6" s="37"/>
      <c r="L6" s="307" t="s">
        <v>298</v>
      </c>
    </row>
    <row r="7" spans="1:12" ht="15" thickBot="1" x14ac:dyDescent="0.35">
      <c r="B7" s="135"/>
      <c r="C7" s="136">
        <v>2010</v>
      </c>
      <c r="D7" s="136">
        <v>2011</v>
      </c>
      <c r="E7" s="136">
        <v>2012</v>
      </c>
      <c r="F7" s="136">
        <v>2013</v>
      </c>
      <c r="G7" s="136">
        <v>2014</v>
      </c>
      <c r="H7" s="136">
        <v>2015</v>
      </c>
      <c r="I7" s="136">
        <v>2016</v>
      </c>
      <c r="J7" s="136">
        <v>2017</v>
      </c>
      <c r="K7" s="136">
        <v>2018</v>
      </c>
      <c r="L7" s="136">
        <v>2019</v>
      </c>
    </row>
    <row r="8" spans="1:12" ht="14.4" x14ac:dyDescent="0.3">
      <c r="B8" s="145" t="s">
        <v>299</v>
      </c>
      <c r="C8" s="150">
        <f t="shared" ref="C8:K8" si="0">SUM(C9:C15)</f>
        <v>89412</v>
      </c>
      <c r="D8" s="150">
        <f t="shared" si="0"/>
        <v>87303</v>
      </c>
      <c r="E8" s="150">
        <f t="shared" si="0"/>
        <v>85678</v>
      </c>
      <c r="F8" s="150">
        <f t="shared" si="0"/>
        <v>87472</v>
      </c>
      <c r="G8" s="150">
        <f t="shared" si="0"/>
        <v>85769</v>
      </c>
      <c r="H8" s="150">
        <f t="shared" si="0"/>
        <v>78622</v>
      </c>
      <c r="I8" s="150">
        <f t="shared" si="0"/>
        <v>52776</v>
      </c>
      <c r="J8" s="150">
        <f t="shared" si="0"/>
        <v>50984</v>
      </c>
      <c r="K8" s="150">
        <f t="shared" si="0"/>
        <v>53102</v>
      </c>
      <c r="L8" s="150" t="s">
        <v>135</v>
      </c>
    </row>
    <row r="9" spans="1:12" ht="14.4" x14ac:dyDescent="0.3">
      <c r="B9" s="238" t="s">
        <v>300</v>
      </c>
      <c r="C9" s="239">
        <v>72088</v>
      </c>
      <c r="D9" s="239">
        <v>71776</v>
      </c>
      <c r="E9" s="239">
        <v>69169</v>
      </c>
      <c r="F9" s="239">
        <v>70167</v>
      </c>
      <c r="G9" s="239">
        <v>68358</v>
      </c>
      <c r="H9" s="239">
        <v>60676</v>
      </c>
      <c r="I9" s="239">
        <v>34220</v>
      </c>
      <c r="J9" s="239">
        <v>32233</v>
      </c>
      <c r="K9" s="239">
        <v>31197</v>
      </c>
      <c r="L9" s="239" t="s">
        <v>135</v>
      </c>
    </row>
    <row r="10" spans="1:12" ht="14.4" x14ac:dyDescent="0.3">
      <c r="B10" s="238" t="s">
        <v>301</v>
      </c>
      <c r="C10" s="239">
        <v>5932</v>
      </c>
      <c r="D10" s="239">
        <v>4303</v>
      </c>
      <c r="E10" s="239">
        <v>4378</v>
      </c>
      <c r="F10" s="239">
        <v>4480</v>
      </c>
      <c r="G10" s="239">
        <v>4319</v>
      </c>
      <c r="H10" s="239">
        <v>4050</v>
      </c>
      <c r="I10" s="239">
        <v>4618</v>
      </c>
      <c r="J10" s="239">
        <v>4395</v>
      </c>
      <c r="K10" s="239">
        <v>7867</v>
      </c>
      <c r="L10" s="239" t="s">
        <v>135</v>
      </c>
    </row>
    <row r="11" spans="1:12" ht="14.4" x14ac:dyDescent="0.3">
      <c r="B11" s="238" t="s">
        <v>302</v>
      </c>
      <c r="C11" s="239">
        <v>6489</v>
      </c>
      <c r="D11" s="239">
        <v>6604</v>
      </c>
      <c r="E11" s="239">
        <v>7077</v>
      </c>
      <c r="F11" s="239">
        <v>7822</v>
      </c>
      <c r="G11" s="239">
        <v>7970</v>
      </c>
      <c r="H11" s="239">
        <v>8743</v>
      </c>
      <c r="I11" s="239">
        <v>7909</v>
      </c>
      <c r="J11" s="239">
        <v>7594</v>
      </c>
      <c r="K11" s="239">
        <v>6751</v>
      </c>
      <c r="L11" s="239" t="s">
        <v>135</v>
      </c>
    </row>
    <row r="12" spans="1:12" ht="14.4" x14ac:dyDescent="0.3">
      <c r="B12" s="238" t="s">
        <v>303</v>
      </c>
      <c r="C12" s="239">
        <f>126+371+109+56+89+26</f>
        <v>777</v>
      </c>
      <c r="D12" s="239">
        <f>128+348+96+35+129+25</f>
        <v>761</v>
      </c>
      <c r="E12" s="240">
        <f>148+268+112+79+33+125</f>
        <v>765</v>
      </c>
      <c r="F12" s="239">
        <f>196+292+117+59+38+77+22</f>
        <v>801</v>
      </c>
      <c r="G12" s="239">
        <f>197+246+105+60+40+106+24</f>
        <v>778</v>
      </c>
      <c r="H12" s="239">
        <f>203+213+109+66+48+108</f>
        <v>747</v>
      </c>
      <c r="I12" s="239">
        <f>226+378+77+38+112+17</f>
        <v>848</v>
      </c>
      <c r="J12" s="239">
        <v>833</v>
      </c>
      <c r="K12" s="239">
        <v>1011</v>
      </c>
      <c r="L12" s="239" t="s">
        <v>135</v>
      </c>
    </row>
    <row r="13" spans="1:12" ht="14.4" x14ac:dyDescent="0.3">
      <c r="B13" s="238" t="s">
        <v>304</v>
      </c>
      <c r="C13" s="239">
        <f>99+154+46+9+25+12</f>
        <v>345</v>
      </c>
      <c r="D13" s="239">
        <f>79+139+28+37+13+16</f>
        <v>312</v>
      </c>
      <c r="E13" s="240">
        <f>99+72+28+11+23+31</f>
        <v>264</v>
      </c>
      <c r="F13" s="239">
        <f>81+93+71+39+28+32+16</f>
        <v>360</v>
      </c>
      <c r="G13" s="239">
        <f>71+91+67+48+49+35+19</f>
        <v>380</v>
      </c>
      <c r="H13" s="239">
        <f>80+88+74+57+15+39+24</f>
        <v>377</v>
      </c>
      <c r="I13" s="239">
        <f>71+152+146+29+38+17</f>
        <v>453</v>
      </c>
      <c r="J13" s="239">
        <v>336</v>
      </c>
      <c r="K13" s="239">
        <v>278</v>
      </c>
      <c r="L13" s="239" t="s">
        <v>135</v>
      </c>
    </row>
    <row r="14" spans="1:12" ht="14.4" x14ac:dyDescent="0.3">
      <c r="A14" s="137"/>
      <c r="B14" s="238" t="s">
        <v>305</v>
      </c>
      <c r="C14" s="241" t="s">
        <v>142</v>
      </c>
      <c r="D14" s="241" t="s">
        <v>142</v>
      </c>
      <c r="E14" s="239">
        <v>383</v>
      </c>
      <c r="F14" s="239">
        <v>389</v>
      </c>
      <c r="G14" s="239">
        <v>528</v>
      </c>
      <c r="H14" s="239">
        <v>544</v>
      </c>
      <c r="I14" s="239">
        <f>1104+4</f>
        <v>1108</v>
      </c>
      <c r="J14" s="239">
        <v>1865</v>
      </c>
      <c r="K14" s="239">
        <v>1989</v>
      </c>
      <c r="L14" s="239" t="s">
        <v>135</v>
      </c>
    </row>
    <row r="15" spans="1:12" s="147" customFormat="1" ht="15" thickBot="1" x14ac:dyDescent="0.35">
      <c r="A15" s="137"/>
      <c r="B15" s="28" t="s">
        <v>306</v>
      </c>
      <c r="C15" s="84">
        <v>3781</v>
      </c>
      <c r="D15" s="84">
        <v>3547</v>
      </c>
      <c r="E15" s="84">
        <v>3642</v>
      </c>
      <c r="F15" s="84">
        <v>3453</v>
      </c>
      <c r="G15" s="84">
        <v>3436</v>
      </c>
      <c r="H15" s="84">
        <v>3485</v>
      </c>
      <c r="I15" s="84">
        <v>3620</v>
      </c>
      <c r="J15" s="84">
        <v>3728</v>
      </c>
      <c r="K15" s="84">
        <v>4009</v>
      </c>
      <c r="L15" s="84" t="s">
        <v>135</v>
      </c>
    </row>
    <row r="16" spans="1:12" ht="14.4" x14ac:dyDescent="0.3">
      <c r="A16" s="137"/>
      <c r="B16" s="151" t="s">
        <v>307</v>
      </c>
      <c r="C16" s="146">
        <f>SUM(C17:C19)</f>
        <v>16328</v>
      </c>
      <c r="D16" s="146">
        <f t="shared" ref="D16:K16" si="1">SUM(D17:D19)</f>
        <v>15755</v>
      </c>
      <c r="E16" s="146">
        <f t="shared" si="1"/>
        <v>15997</v>
      </c>
      <c r="F16" s="146">
        <f t="shared" si="1"/>
        <v>16822</v>
      </c>
      <c r="G16" s="146">
        <f t="shared" si="1"/>
        <v>17297</v>
      </c>
      <c r="H16" s="146">
        <f t="shared" si="1"/>
        <v>16306</v>
      </c>
      <c r="I16" s="146">
        <f t="shared" si="1"/>
        <v>19157</v>
      </c>
      <c r="J16" s="146">
        <f t="shared" si="1"/>
        <v>17152</v>
      </c>
      <c r="K16" s="146">
        <f t="shared" si="1"/>
        <v>18630</v>
      </c>
      <c r="L16" s="146" t="s">
        <v>135</v>
      </c>
    </row>
    <row r="17" spans="1:12" ht="14.4" x14ac:dyDescent="0.3">
      <c r="A17" s="137"/>
      <c r="B17" s="242" t="s">
        <v>308</v>
      </c>
      <c r="C17" s="239">
        <f>4598+189+651+952+185+299+28</f>
        <v>6902</v>
      </c>
      <c r="D17" s="239">
        <f>4670+1454</f>
        <v>6124</v>
      </c>
      <c r="E17" s="239">
        <f>4680+176+494+185+249+252+350+75</f>
        <v>6461</v>
      </c>
      <c r="F17" s="239">
        <f>4675+204+386+271+408+215+193+86</f>
        <v>6438</v>
      </c>
      <c r="G17" s="239">
        <f>4807+98+288+279+649+141+463+103</f>
        <v>6828</v>
      </c>
      <c r="H17" s="239">
        <f>4787+185+421+324+83+146+483+59</f>
        <v>6488</v>
      </c>
      <c r="I17" s="239">
        <f>5196+217+695+610+196+420+99</f>
        <v>7433</v>
      </c>
      <c r="J17" s="239">
        <f>5407+1855</f>
        <v>7262</v>
      </c>
      <c r="K17" s="239">
        <v>10151</v>
      </c>
      <c r="L17" s="239" t="s">
        <v>135</v>
      </c>
    </row>
    <row r="18" spans="1:12" ht="14.4" x14ac:dyDescent="0.3">
      <c r="A18" s="137"/>
      <c r="B18" s="242" t="s">
        <v>309</v>
      </c>
      <c r="C18" s="239">
        <v>7496</v>
      </c>
      <c r="D18" s="239">
        <v>7659</v>
      </c>
      <c r="E18" s="239">
        <v>7701</v>
      </c>
      <c r="F18" s="239">
        <v>8728</v>
      </c>
      <c r="G18" s="239">
        <v>8921</v>
      </c>
      <c r="H18" s="239">
        <v>7889</v>
      </c>
      <c r="I18" s="239">
        <v>9879</v>
      </c>
      <c r="J18" s="239">
        <v>8747</v>
      </c>
      <c r="K18" s="239">
        <v>7370</v>
      </c>
      <c r="L18" s="239" t="s">
        <v>135</v>
      </c>
    </row>
    <row r="19" spans="1:12" s="147" customFormat="1" ht="15" thickBot="1" x14ac:dyDescent="0.35">
      <c r="A19" s="137"/>
      <c r="B19" s="28" t="s">
        <v>310</v>
      </c>
      <c r="C19" s="84">
        <v>1930</v>
      </c>
      <c r="D19" s="84">
        <v>1972</v>
      </c>
      <c r="E19" s="84">
        <v>1835</v>
      </c>
      <c r="F19" s="84">
        <v>1656</v>
      </c>
      <c r="G19" s="84">
        <v>1548</v>
      </c>
      <c r="H19" s="84">
        <f>661+52+144+3+30+1039</f>
        <v>1929</v>
      </c>
      <c r="I19" s="84">
        <v>1845</v>
      </c>
      <c r="J19" s="84">
        <v>1143</v>
      </c>
      <c r="K19" s="84">
        <v>1109</v>
      </c>
      <c r="L19" s="84" t="s">
        <v>135</v>
      </c>
    </row>
    <row r="20" spans="1:12" ht="14.4" x14ac:dyDescent="0.3">
      <c r="A20" s="137"/>
      <c r="B20" s="151" t="s">
        <v>311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</row>
    <row r="21" spans="1:12" s="147" customFormat="1" ht="15" thickBot="1" x14ac:dyDescent="0.35">
      <c r="A21" s="137"/>
      <c r="B21" s="28" t="s">
        <v>312</v>
      </c>
      <c r="C21" s="84">
        <v>1201</v>
      </c>
      <c r="D21" s="84">
        <v>1250</v>
      </c>
      <c r="E21" s="84">
        <v>1261</v>
      </c>
      <c r="F21" s="84">
        <v>1584</v>
      </c>
      <c r="G21" s="84">
        <v>1831</v>
      </c>
      <c r="H21" s="84">
        <v>1827</v>
      </c>
      <c r="I21" s="84">
        <v>1952</v>
      </c>
      <c r="J21" s="84">
        <v>2480</v>
      </c>
      <c r="K21" s="84">
        <v>1689</v>
      </c>
      <c r="L21" s="84" t="s">
        <v>135</v>
      </c>
    </row>
    <row r="22" spans="1:12" ht="15" thickBot="1" x14ac:dyDescent="0.35">
      <c r="A22" s="137"/>
      <c r="B22" s="148" t="s">
        <v>313</v>
      </c>
      <c r="C22" s="149">
        <v>3557</v>
      </c>
      <c r="D22" s="149">
        <v>4039</v>
      </c>
      <c r="E22" s="149">
        <v>4487</v>
      </c>
      <c r="F22" s="149">
        <v>5616</v>
      </c>
      <c r="G22" s="149">
        <v>4303</v>
      </c>
      <c r="H22" s="149">
        <v>3141</v>
      </c>
      <c r="I22" s="149">
        <v>3321</v>
      </c>
      <c r="J22" s="149">
        <v>3730</v>
      </c>
      <c r="K22" s="149">
        <v>4359</v>
      </c>
      <c r="L22" s="149" t="s">
        <v>135</v>
      </c>
    </row>
    <row r="23" spans="1:12" ht="14.4" x14ac:dyDescent="0.3">
      <c r="B23" s="79"/>
      <c r="C23" s="79"/>
      <c r="D23" s="79"/>
      <c r="E23" s="79"/>
      <c r="F23" s="79"/>
      <c r="G23" s="79"/>
      <c r="H23" s="138"/>
      <c r="I23" s="138"/>
      <c r="J23" s="138"/>
      <c r="K23" s="138"/>
      <c r="L23" s="138"/>
    </row>
    <row r="25" spans="1:12" x14ac:dyDescent="0.25">
      <c r="B25" s="139" t="s">
        <v>314</v>
      </c>
    </row>
    <row r="27" spans="1:12" ht="15" thickBot="1" x14ac:dyDescent="0.35">
      <c r="B27" s="140"/>
      <c r="C27" s="136">
        <v>2010</v>
      </c>
      <c r="D27" s="136">
        <v>2011</v>
      </c>
      <c r="E27" s="136">
        <v>2012</v>
      </c>
      <c r="F27" s="136">
        <v>2013</v>
      </c>
      <c r="G27" s="136">
        <v>2014</v>
      </c>
      <c r="H27" s="136">
        <v>2015</v>
      </c>
      <c r="I27" s="136">
        <v>2016</v>
      </c>
      <c r="J27" s="136">
        <v>2017</v>
      </c>
      <c r="K27" s="136">
        <v>2018</v>
      </c>
      <c r="L27" s="136">
        <v>2019</v>
      </c>
    </row>
    <row r="28" spans="1:12" ht="14.4" x14ac:dyDescent="0.3">
      <c r="B28" s="238" t="s">
        <v>315</v>
      </c>
      <c r="C28" s="243" t="s">
        <v>142</v>
      </c>
      <c r="D28" s="243" t="s">
        <v>142</v>
      </c>
      <c r="E28" s="243" t="s">
        <v>142</v>
      </c>
      <c r="F28" s="243" t="s">
        <v>142</v>
      </c>
      <c r="G28" s="243" t="s">
        <v>142</v>
      </c>
      <c r="H28" s="243" t="s">
        <v>142</v>
      </c>
      <c r="I28" s="141">
        <v>272</v>
      </c>
      <c r="J28" s="244">
        <v>380</v>
      </c>
      <c r="K28" s="244">
        <v>483</v>
      </c>
      <c r="L28" s="239" t="s">
        <v>135</v>
      </c>
    </row>
    <row r="29" spans="1:12" ht="14.4" x14ac:dyDescent="0.3">
      <c r="B29" s="238" t="s">
        <v>316</v>
      </c>
      <c r="C29" s="243" t="s">
        <v>142</v>
      </c>
      <c r="D29" s="243" t="s">
        <v>142</v>
      </c>
      <c r="E29" s="243" t="s">
        <v>142</v>
      </c>
      <c r="F29" s="243" t="s">
        <v>142</v>
      </c>
      <c r="G29" s="243" t="s">
        <v>142</v>
      </c>
      <c r="H29" s="243" t="s">
        <v>142</v>
      </c>
      <c r="I29" s="206">
        <v>258</v>
      </c>
      <c r="J29" s="244">
        <v>957</v>
      </c>
      <c r="K29" s="244">
        <v>1438</v>
      </c>
      <c r="L29" s="239" t="s">
        <v>135</v>
      </c>
    </row>
    <row r="30" spans="1:12" ht="14.4" x14ac:dyDescent="0.3">
      <c r="B30" s="238" t="s">
        <v>55</v>
      </c>
      <c r="C30" s="243" t="s">
        <v>142</v>
      </c>
      <c r="D30" s="243" t="s">
        <v>142</v>
      </c>
      <c r="E30" s="243" t="s">
        <v>142</v>
      </c>
      <c r="F30" s="243" t="s">
        <v>142</v>
      </c>
      <c r="G30" s="243" t="s">
        <v>142</v>
      </c>
      <c r="H30" s="243" t="s">
        <v>142</v>
      </c>
      <c r="I30" s="244">
        <v>59</v>
      </c>
      <c r="J30" s="244">
        <v>315</v>
      </c>
      <c r="K30" s="244">
        <v>643</v>
      </c>
      <c r="L30" s="239" t="s">
        <v>135</v>
      </c>
    </row>
    <row r="31" spans="1:12" ht="14.4" x14ac:dyDescent="0.3">
      <c r="B31" s="238" t="s">
        <v>56</v>
      </c>
      <c r="C31" s="243" t="s">
        <v>142</v>
      </c>
      <c r="D31" s="243" t="s">
        <v>142</v>
      </c>
      <c r="E31" s="243" t="s">
        <v>142</v>
      </c>
      <c r="F31" s="243" t="s">
        <v>142</v>
      </c>
      <c r="G31" s="243" t="s">
        <v>142</v>
      </c>
      <c r="H31" s="243" t="s">
        <v>142</v>
      </c>
      <c r="I31" s="244">
        <v>27</v>
      </c>
      <c r="J31" s="244">
        <v>104</v>
      </c>
      <c r="K31" s="244">
        <v>119</v>
      </c>
      <c r="L31" s="239" t="s">
        <v>135</v>
      </c>
    </row>
    <row r="32" spans="1:12" ht="14.4" x14ac:dyDescent="0.3">
      <c r="B32" s="238" t="s">
        <v>57</v>
      </c>
      <c r="C32" s="243" t="s">
        <v>142</v>
      </c>
      <c r="D32" s="243" t="s">
        <v>142</v>
      </c>
      <c r="E32" s="243" t="s">
        <v>142</v>
      </c>
      <c r="F32" s="243" t="s">
        <v>142</v>
      </c>
      <c r="G32" s="243" t="s">
        <v>142</v>
      </c>
      <c r="H32" s="243" t="s">
        <v>142</v>
      </c>
      <c r="I32" s="244">
        <v>46</v>
      </c>
      <c r="J32" s="244">
        <v>213</v>
      </c>
      <c r="K32" s="244">
        <v>244</v>
      </c>
      <c r="L32" s="239" t="s">
        <v>135</v>
      </c>
    </row>
    <row r="33" spans="2:12" ht="14.4" x14ac:dyDescent="0.3">
      <c r="B33" s="238" t="s">
        <v>58</v>
      </c>
      <c r="C33" s="243" t="s">
        <v>142</v>
      </c>
      <c r="D33" s="243" t="s">
        <v>142</v>
      </c>
      <c r="E33" s="243" t="s">
        <v>142</v>
      </c>
      <c r="F33" s="243" t="s">
        <v>142</v>
      </c>
      <c r="G33" s="243" t="s">
        <v>142</v>
      </c>
      <c r="H33" s="243" t="s">
        <v>142</v>
      </c>
      <c r="I33" s="244">
        <v>1</v>
      </c>
      <c r="J33" s="244">
        <v>21</v>
      </c>
      <c r="K33" s="244">
        <v>24</v>
      </c>
      <c r="L33" s="239" t="s">
        <v>135</v>
      </c>
    </row>
    <row r="34" spans="2:12" ht="15" thickBot="1" x14ac:dyDescent="0.35">
      <c r="B34" s="144" t="s">
        <v>317</v>
      </c>
      <c r="C34" s="143" t="s">
        <v>142</v>
      </c>
      <c r="D34" s="143" t="s">
        <v>142</v>
      </c>
      <c r="E34" s="143" t="s">
        <v>142</v>
      </c>
      <c r="F34" s="143" t="s">
        <v>142</v>
      </c>
      <c r="G34" s="143" t="s">
        <v>142</v>
      </c>
      <c r="H34" s="143" t="s">
        <v>142</v>
      </c>
      <c r="I34" s="73">
        <f>+SUM(I28:I33)</f>
        <v>663</v>
      </c>
      <c r="J34" s="73">
        <f t="shared" ref="J34" si="2">+SUM(J28:J33)</f>
        <v>1990</v>
      </c>
      <c r="K34" s="73">
        <f t="shared" ref="K34" si="3">+SUM(K28:K33)</f>
        <v>2951</v>
      </c>
      <c r="L34" s="308" t="s">
        <v>135</v>
      </c>
    </row>
    <row r="37" spans="2:12" x14ac:dyDescent="0.25">
      <c r="B37" s="142"/>
    </row>
    <row r="38" spans="2:12" x14ac:dyDescent="0.25">
      <c r="B38" s="142"/>
    </row>
    <row r="39" spans="2:12" x14ac:dyDescent="0.25">
      <c r="B39" s="142"/>
    </row>
    <row r="40" spans="2:12" x14ac:dyDescent="0.25">
      <c r="B40" s="142"/>
    </row>
    <row r="41" spans="2:12" x14ac:dyDescent="0.25">
      <c r="B41" s="142"/>
    </row>
    <row r="42" spans="2:12" x14ac:dyDescent="0.25">
      <c r="B42" s="142"/>
    </row>
    <row r="43" spans="2:12" x14ac:dyDescent="0.25">
      <c r="B43" s="142"/>
    </row>
    <row r="44" spans="2:12" x14ac:dyDescent="0.25">
      <c r="B44" s="142"/>
    </row>
  </sheetData>
  <pageMargins left="0.7" right="0.7" top="0.75" bottom="0.75" header="0.3" footer="0.3"/>
  <pageSetup paperSize="9" scale="80" orientation="landscape" r:id="rId1"/>
  <ignoredErrors>
    <ignoredError sqref="I34:K3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B2:L37"/>
  <sheetViews>
    <sheetView zoomScaleNormal="100" workbookViewId="0"/>
  </sheetViews>
  <sheetFormatPr defaultColWidth="9.109375" defaultRowHeight="14.4" x14ac:dyDescent="0.3"/>
  <cols>
    <col min="1" max="1" width="9.109375" style="1" customWidth="1"/>
    <col min="2" max="2" width="58.6640625" style="1" customWidth="1"/>
    <col min="3" max="7" width="11.6640625" style="1" customWidth="1"/>
    <col min="8" max="12" width="11.6640625" style="7" customWidth="1"/>
    <col min="13" max="16384" width="9.109375" style="1"/>
  </cols>
  <sheetData>
    <row r="2" spans="2:12" ht="17.399999999999999" x14ac:dyDescent="0.35">
      <c r="B2" s="167" t="s">
        <v>318</v>
      </c>
    </row>
    <row r="3" spans="2:12" x14ac:dyDescent="0.3">
      <c r="B3" s="39"/>
      <c r="H3" s="1"/>
      <c r="I3" s="1"/>
      <c r="J3" s="1"/>
    </row>
    <row r="4" spans="2:12" x14ac:dyDescent="0.3">
      <c r="B4" s="39"/>
      <c r="H4" s="1"/>
      <c r="I4" s="1"/>
      <c r="J4" s="1"/>
    </row>
    <row r="5" spans="2:12" x14ac:dyDescent="0.3">
      <c r="B5" s="41" t="s">
        <v>319</v>
      </c>
      <c r="C5" s="20"/>
      <c r="D5" s="20"/>
      <c r="E5" s="20"/>
      <c r="F5" s="20"/>
      <c r="G5" s="20"/>
      <c r="H5" s="20"/>
      <c r="I5" s="20"/>
      <c r="J5" s="20"/>
      <c r="K5" s="112"/>
      <c r="L5" s="112"/>
    </row>
    <row r="6" spans="2:12" ht="28.8" x14ac:dyDescent="0.3">
      <c r="B6" s="7"/>
      <c r="C6" s="7"/>
      <c r="D6" s="7"/>
      <c r="E6" s="7"/>
      <c r="F6" s="7"/>
      <c r="G6" s="7"/>
      <c r="L6" s="307" t="s">
        <v>298</v>
      </c>
    </row>
    <row r="7" spans="2:12" ht="15" thickBot="1" x14ac:dyDescent="0.35">
      <c r="B7" s="36"/>
      <c r="C7" s="40">
        <v>2010</v>
      </c>
      <c r="D7" s="40">
        <v>2011</v>
      </c>
      <c r="E7" s="40">
        <v>2012</v>
      </c>
      <c r="F7" s="40">
        <v>2013</v>
      </c>
      <c r="G7" s="40">
        <v>2014</v>
      </c>
      <c r="H7" s="40">
        <v>2015</v>
      </c>
      <c r="I7" s="40">
        <v>2016</v>
      </c>
      <c r="J7" s="40">
        <v>2017</v>
      </c>
      <c r="K7" s="40">
        <v>2018</v>
      </c>
      <c r="L7" s="40">
        <v>2019</v>
      </c>
    </row>
    <row r="8" spans="2:12" x14ac:dyDescent="0.3">
      <c r="B8" s="207" t="s">
        <v>320</v>
      </c>
      <c r="C8" s="208">
        <v>13651</v>
      </c>
      <c r="D8" s="208">
        <v>18701</v>
      </c>
      <c r="E8" s="208">
        <v>8780</v>
      </c>
      <c r="F8" s="208">
        <v>14896</v>
      </c>
      <c r="G8" s="208">
        <v>17921</v>
      </c>
      <c r="H8" s="208">
        <v>14017</v>
      </c>
      <c r="I8" s="208">
        <f>+H11</f>
        <v>14228</v>
      </c>
      <c r="J8" s="208">
        <f>+I11</f>
        <v>15382</v>
      </c>
      <c r="K8" s="208">
        <f>+J11</f>
        <v>16235</v>
      </c>
      <c r="L8" s="208" t="s">
        <v>135</v>
      </c>
    </row>
    <row r="9" spans="2:12" x14ac:dyDescent="0.3">
      <c r="B9" s="245" t="s">
        <v>321</v>
      </c>
      <c r="C9" s="231">
        <v>115764</v>
      </c>
      <c r="D9" s="231">
        <v>143407</v>
      </c>
      <c r="E9" s="231">
        <v>167198</v>
      </c>
      <c r="F9" s="231">
        <v>163768</v>
      </c>
      <c r="G9" s="231">
        <v>155759</v>
      </c>
      <c r="H9" s="231">
        <v>159143</v>
      </c>
      <c r="I9" s="231">
        <v>165529</v>
      </c>
      <c r="J9" s="231">
        <v>174973</v>
      </c>
      <c r="K9" s="231">
        <v>175328</v>
      </c>
      <c r="L9" s="231" t="s">
        <v>135</v>
      </c>
    </row>
    <row r="10" spans="2:12" x14ac:dyDescent="0.3">
      <c r="B10" s="245" t="s">
        <v>322</v>
      </c>
      <c r="C10" s="231">
        <v>110714</v>
      </c>
      <c r="D10" s="231">
        <v>139936</v>
      </c>
      <c r="E10" s="231">
        <v>161082</v>
      </c>
      <c r="F10" s="231">
        <v>160743</v>
      </c>
      <c r="G10" s="231">
        <v>159663</v>
      </c>
      <c r="H10" s="231">
        <v>158932</v>
      </c>
      <c r="I10" s="231">
        <v>164375</v>
      </c>
      <c r="J10" s="231">
        <v>174120</v>
      </c>
      <c r="K10" s="231">
        <v>170957</v>
      </c>
      <c r="L10" s="231" t="s">
        <v>135</v>
      </c>
    </row>
    <row r="11" spans="2:12" x14ac:dyDescent="0.3">
      <c r="B11" s="246" t="s">
        <v>323</v>
      </c>
      <c r="C11" s="247">
        <f t="shared" ref="C11:J11" si="0">+C9+C8-C10</f>
        <v>18701</v>
      </c>
      <c r="D11" s="247">
        <f t="shared" si="0"/>
        <v>22172</v>
      </c>
      <c r="E11" s="247">
        <f t="shared" si="0"/>
        <v>14896</v>
      </c>
      <c r="F11" s="247">
        <f t="shared" si="0"/>
        <v>17921</v>
      </c>
      <c r="G11" s="247">
        <f t="shared" si="0"/>
        <v>14017</v>
      </c>
      <c r="H11" s="247">
        <f t="shared" si="0"/>
        <v>14228</v>
      </c>
      <c r="I11" s="247">
        <f t="shared" si="0"/>
        <v>15382</v>
      </c>
      <c r="J11" s="247">
        <f t="shared" si="0"/>
        <v>16235</v>
      </c>
      <c r="K11" s="247">
        <f t="shared" ref="K11" si="1">+K9+K8-K10</f>
        <v>20606</v>
      </c>
      <c r="L11" s="247" t="s">
        <v>135</v>
      </c>
    </row>
    <row r="12" spans="2:12" ht="15" thickBot="1" x14ac:dyDescent="0.35">
      <c r="B12" s="53" t="s">
        <v>324</v>
      </c>
      <c r="C12" s="52">
        <f t="shared" ref="C12:J12" si="2">+C11+C10</f>
        <v>129415</v>
      </c>
      <c r="D12" s="52">
        <f t="shared" si="2"/>
        <v>162108</v>
      </c>
      <c r="E12" s="52">
        <f t="shared" si="2"/>
        <v>175978</v>
      </c>
      <c r="F12" s="52">
        <f t="shared" si="2"/>
        <v>178664</v>
      </c>
      <c r="G12" s="52">
        <f t="shared" si="2"/>
        <v>173680</v>
      </c>
      <c r="H12" s="52">
        <f t="shared" si="2"/>
        <v>173160</v>
      </c>
      <c r="I12" s="52">
        <f t="shared" si="2"/>
        <v>179757</v>
      </c>
      <c r="J12" s="52">
        <f t="shared" si="2"/>
        <v>190355</v>
      </c>
      <c r="K12" s="52">
        <f t="shared" ref="K12" si="3">+K11+K10</f>
        <v>191563</v>
      </c>
      <c r="L12" s="52" t="s">
        <v>135</v>
      </c>
    </row>
    <row r="13" spans="2:12" x14ac:dyDescent="0.3">
      <c r="B13" s="7"/>
      <c r="C13" s="7"/>
      <c r="D13" s="7"/>
      <c r="E13" s="7"/>
      <c r="F13" s="7"/>
      <c r="G13" s="7"/>
      <c r="H13" s="42"/>
      <c r="I13" s="42"/>
      <c r="J13" s="42"/>
      <c r="K13" s="42"/>
      <c r="L13" s="42"/>
    </row>
    <row r="14" spans="2:12" x14ac:dyDescent="0.3">
      <c r="B14" s="7" t="s">
        <v>325</v>
      </c>
      <c r="C14" s="7"/>
      <c r="D14" s="7"/>
      <c r="E14" s="7"/>
      <c r="F14" s="7"/>
      <c r="G14" s="7"/>
      <c r="H14" s="42"/>
      <c r="I14" s="42"/>
      <c r="J14" s="42"/>
      <c r="K14" s="42"/>
      <c r="L14" s="42"/>
    </row>
    <row r="15" spans="2:12" x14ac:dyDescent="0.3">
      <c r="B15" s="7"/>
      <c r="C15" s="7"/>
      <c r="D15" s="7"/>
      <c r="E15" s="7"/>
      <c r="F15" s="7"/>
      <c r="G15" s="7"/>
    </row>
    <row r="16" spans="2:12" x14ac:dyDescent="0.3">
      <c r="B16" s="7"/>
      <c r="C16" s="7"/>
      <c r="D16" s="7"/>
      <c r="E16" s="7"/>
      <c r="F16" s="7"/>
      <c r="G16" s="7"/>
    </row>
    <row r="17" spans="2:12" x14ac:dyDescent="0.3">
      <c r="B17" s="41" t="s">
        <v>326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2:12" x14ac:dyDescent="0.3">
      <c r="B18" s="7"/>
      <c r="C18" s="7"/>
      <c r="D18" s="7"/>
      <c r="E18" s="7"/>
      <c r="F18" s="7"/>
      <c r="G18" s="7"/>
    </row>
    <row r="19" spans="2:12" ht="15" thickBot="1" x14ac:dyDescent="0.35">
      <c r="B19" s="51"/>
      <c r="C19" s="40">
        <f t="shared" ref="C19:J19" si="4">C7</f>
        <v>2010</v>
      </c>
      <c r="D19" s="40">
        <f t="shared" si="4"/>
        <v>2011</v>
      </c>
      <c r="E19" s="40">
        <f t="shared" si="4"/>
        <v>2012</v>
      </c>
      <c r="F19" s="40">
        <f t="shared" si="4"/>
        <v>2013</v>
      </c>
      <c r="G19" s="40">
        <f t="shared" si="4"/>
        <v>2014</v>
      </c>
      <c r="H19" s="40">
        <f t="shared" si="4"/>
        <v>2015</v>
      </c>
      <c r="I19" s="40">
        <f t="shared" si="4"/>
        <v>2016</v>
      </c>
      <c r="J19" s="40">
        <f t="shared" si="4"/>
        <v>2017</v>
      </c>
      <c r="K19" s="40">
        <f t="shared" ref="K19" si="5">K7</f>
        <v>2018</v>
      </c>
      <c r="L19" s="40">
        <v>2019</v>
      </c>
    </row>
    <row r="20" spans="2:12" x14ac:dyDescent="0.3">
      <c r="B20" s="50" t="s">
        <v>214</v>
      </c>
      <c r="C20" s="49">
        <f t="shared" ref="C20:K20" si="6">C21+C28</f>
        <v>321071</v>
      </c>
      <c r="D20" s="49">
        <f t="shared" si="6"/>
        <v>312960</v>
      </c>
      <c r="E20" s="49">
        <f t="shared" si="6"/>
        <v>296622</v>
      </c>
      <c r="F20" s="49">
        <f t="shared" si="6"/>
        <v>302294</v>
      </c>
      <c r="G20" s="49">
        <f t="shared" si="6"/>
        <v>300912</v>
      </c>
      <c r="H20" s="49">
        <f t="shared" si="6"/>
        <v>287643</v>
      </c>
      <c r="I20" s="49">
        <f t="shared" si="6"/>
        <v>296204</v>
      </c>
      <c r="J20" s="49">
        <f t="shared" si="6"/>
        <v>299426</v>
      </c>
      <c r="K20" s="49">
        <f t="shared" si="6"/>
        <v>310042</v>
      </c>
      <c r="L20" s="49">
        <f t="shared" ref="L20" si="7">L21+L28</f>
        <v>318267</v>
      </c>
    </row>
    <row r="21" spans="2:12" x14ac:dyDescent="0.3">
      <c r="B21" s="248" t="s">
        <v>327</v>
      </c>
      <c r="C21" s="249">
        <f t="shared" ref="C21:J21" si="8">SUM(C22:C27)</f>
        <v>203475</v>
      </c>
      <c r="D21" s="249">
        <f t="shared" si="8"/>
        <v>197483</v>
      </c>
      <c r="E21" s="249">
        <f t="shared" si="8"/>
        <v>185381</v>
      </c>
      <c r="F21" s="249">
        <f t="shared" si="8"/>
        <v>191407</v>
      </c>
      <c r="G21" s="249">
        <f t="shared" si="8"/>
        <v>195387</v>
      </c>
      <c r="H21" s="249">
        <f t="shared" si="8"/>
        <v>188606</v>
      </c>
      <c r="I21" s="249">
        <f t="shared" si="8"/>
        <v>194629</v>
      </c>
      <c r="J21" s="249">
        <f t="shared" si="8"/>
        <v>195917</v>
      </c>
      <c r="K21" s="249">
        <f t="shared" ref="K21:L21" si="9">SUM(K22:K27)</f>
        <v>202560</v>
      </c>
      <c r="L21" s="249">
        <f t="shared" si="9"/>
        <v>208029</v>
      </c>
    </row>
    <row r="22" spans="2:12" x14ac:dyDescent="0.3">
      <c r="B22" s="250" t="s">
        <v>299</v>
      </c>
      <c r="C22" s="233">
        <v>141751</v>
      </c>
      <c r="D22" s="233">
        <v>135394</v>
      </c>
      <c r="E22" s="233">
        <v>121471</v>
      </c>
      <c r="F22" s="233">
        <v>122150</v>
      </c>
      <c r="G22" s="233">
        <v>117207</v>
      </c>
      <c r="H22" s="233">
        <v>112457</v>
      </c>
      <c r="I22" s="233">
        <v>118682</v>
      </c>
      <c r="J22" s="233">
        <v>120265</v>
      </c>
      <c r="K22" s="233">
        <v>123158</v>
      </c>
      <c r="L22" s="233">
        <v>125517</v>
      </c>
    </row>
    <row r="23" spans="2:12" x14ac:dyDescent="0.3">
      <c r="B23" s="250" t="s">
        <v>307</v>
      </c>
      <c r="C23" s="233">
        <v>29660</v>
      </c>
      <c r="D23" s="233">
        <v>32693</v>
      </c>
      <c r="E23" s="233">
        <v>34489</v>
      </c>
      <c r="F23" s="233">
        <v>38852</v>
      </c>
      <c r="G23" s="233">
        <v>43406</v>
      </c>
      <c r="H23" s="233">
        <v>42735</v>
      </c>
      <c r="I23" s="233">
        <v>41981</v>
      </c>
      <c r="J23" s="233">
        <v>42404</v>
      </c>
      <c r="K23" s="233">
        <v>43708</v>
      </c>
      <c r="L23" s="233">
        <f>24341+19474</f>
        <v>43815</v>
      </c>
    </row>
    <row r="24" spans="2:12" x14ac:dyDescent="0.3">
      <c r="B24" s="250" t="s">
        <v>328</v>
      </c>
      <c r="C24" s="233">
        <v>12292</v>
      </c>
      <c r="D24" s="233">
        <v>9617</v>
      </c>
      <c r="E24" s="233">
        <v>9227</v>
      </c>
      <c r="F24" s="233">
        <v>9183</v>
      </c>
      <c r="G24" s="233">
        <v>8858</v>
      </c>
      <c r="H24" s="233">
        <v>8148</v>
      </c>
      <c r="I24" s="233">
        <v>7534</v>
      </c>
      <c r="J24" s="233">
        <v>7028</v>
      </c>
      <c r="K24" s="233">
        <v>8704</v>
      </c>
      <c r="L24" s="233">
        <v>10892</v>
      </c>
    </row>
    <row r="25" spans="2:12" x14ac:dyDescent="0.3">
      <c r="B25" s="250" t="s">
        <v>311</v>
      </c>
      <c r="C25" s="233">
        <v>5555</v>
      </c>
      <c r="D25" s="233">
        <v>5614</v>
      </c>
      <c r="E25" s="233">
        <v>5822</v>
      </c>
      <c r="F25" s="233">
        <v>6100</v>
      </c>
      <c r="G25" s="233">
        <v>6605</v>
      </c>
      <c r="H25" s="233">
        <v>6556</v>
      </c>
      <c r="I25" s="233">
        <v>6833</v>
      </c>
      <c r="J25" s="233">
        <v>6010</v>
      </c>
      <c r="K25" s="233">
        <v>5805</v>
      </c>
      <c r="L25" s="233">
        <v>6489</v>
      </c>
    </row>
    <row r="26" spans="2:12" x14ac:dyDescent="0.3">
      <c r="B26" s="250" t="s">
        <v>329</v>
      </c>
      <c r="C26" s="251">
        <v>344</v>
      </c>
      <c r="D26" s="251">
        <v>301</v>
      </c>
      <c r="E26" s="251">
        <v>285</v>
      </c>
      <c r="F26" s="251">
        <v>345</v>
      </c>
      <c r="G26" s="251">
        <v>387</v>
      </c>
      <c r="H26" s="251">
        <v>341</v>
      </c>
      <c r="I26" s="251">
        <v>456</v>
      </c>
      <c r="J26" s="251">
        <v>548</v>
      </c>
      <c r="K26" s="251">
        <v>629</v>
      </c>
      <c r="L26" s="251">
        <v>871</v>
      </c>
    </row>
    <row r="27" spans="2:12" x14ac:dyDescent="0.3">
      <c r="B27" s="250" t="s">
        <v>330</v>
      </c>
      <c r="C27" s="233">
        <v>13873</v>
      </c>
      <c r="D27" s="233">
        <v>13864</v>
      </c>
      <c r="E27" s="233">
        <v>14087</v>
      </c>
      <c r="F27" s="233">
        <v>14777</v>
      </c>
      <c r="G27" s="233">
        <v>18924</v>
      </c>
      <c r="H27" s="233">
        <v>18369</v>
      </c>
      <c r="I27" s="233">
        <v>19143</v>
      </c>
      <c r="J27" s="233">
        <v>19662</v>
      </c>
      <c r="K27" s="233">
        <v>20556</v>
      </c>
      <c r="L27" s="233">
        <v>20445</v>
      </c>
    </row>
    <row r="28" spans="2:12" x14ac:dyDescent="0.3">
      <c r="B28" s="248" t="s">
        <v>331</v>
      </c>
      <c r="C28" s="249">
        <f t="shared" ref="C28:J28" si="10">SUM(C29:C31)</f>
        <v>117596</v>
      </c>
      <c r="D28" s="249">
        <f t="shared" si="10"/>
        <v>115477</v>
      </c>
      <c r="E28" s="249">
        <f t="shared" si="10"/>
        <v>111241</v>
      </c>
      <c r="F28" s="249">
        <f t="shared" si="10"/>
        <v>110887</v>
      </c>
      <c r="G28" s="249">
        <f t="shared" si="10"/>
        <v>105525</v>
      </c>
      <c r="H28" s="249">
        <f t="shared" si="10"/>
        <v>99037</v>
      </c>
      <c r="I28" s="249">
        <f t="shared" si="10"/>
        <v>101575</v>
      </c>
      <c r="J28" s="249">
        <f t="shared" si="10"/>
        <v>103509</v>
      </c>
      <c r="K28" s="249">
        <f t="shared" ref="K28:L28" si="11">SUM(K29:K31)</f>
        <v>107482</v>
      </c>
      <c r="L28" s="249">
        <f t="shared" si="11"/>
        <v>110238</v>
      </c>
    </row>
    <row r="29" spans="2:12" x14ac:dyDescent="0.3">
      <c r="B29" s="250" t="s">
        <v>332</v>
      </c>
      <c r="C29" s="233">
        <v>68495</v>
      </c>
      <c r="D29" s="233">
        <v>67902</v>
      </c>
      <c r="E29" s="233">
        <v>63823</v>
      </c>
      <c r="F29" s="233">
        <v>63605</v>
      </c>
      <c r="G29" s="233">
        <v>58490</v>
      </c>
      <c r="H29" s="233">
        <v>51995</v>
      </c>
      <c r="I29" s="233">
        <f>51086+3705</f>
        <v>54791</v>
      </c>
      <c r="J29" s="233">
        <v>56642</v>
      </c>
      <c r="K29" s="233">
        <v>60646</v>
      </c>
      <c r="L29" s="233">
        <f>59177+4183</f>
        <v>63360</v>
      </c>
    </row>
    <row r="30" spans="2:12" x14ac:dyDescent="0.3">
      <c r="B30" s="250" t="s">
        <v>333</v>
      </c>
      <c r="C30" s="233">
        <v>44900</v>
      </c>
      <c r="D30" s="233">
        <v>43526</v>
      </c>
      <c r="E30" s="233">
        <v>44142</v>
      </c>
      <c r="F30" s="233">
        <v>44228</v>
      </c>
      <c r="G30" s="233">
        <v>44578</v>
      </c>
      <c r="H30" s="233">
        <v>44968</v>
      </c>
      <c r="I30" s="233">
        <f>33654+4788+5393</f>
        <v>43835</v>
      </c>
      <c r="J30" s="233">
        <v>43940</v>
      </c>
      <c r="K30" s="233">
        <v>43005</v>
      </c>
      <c r="L30" s="233">
        <f>31718+4920+5177</f>
        <v>41815</v>
      </c>
    </row>
    <row r="31" spans="2:12" ht="15" thickBot="1" x14ac:dyDescent="0.35">
      <c r="B31" s="250" t="s">
        <v>334</v>
      </c>
      <c r="C31" s="233">
        <v>4201</v>
      </c>
      <c r="D31" s="233">
        <v>4049</v>
      </c>
      <c r="E31" s="233">
        <v>3276</v>
      </c>
      <c r="F31" s="233">
        <v>3054</v>
      </c>
      <c r="G31" s="233">
        <v>2457</v>
      </c>
      <c r="H31" s="233">
        <v>2074</v>
      </c>
      <c r="I31" s="233">
        <f>2807+142</f>
        <v>2949</v>
      </c>
      <c r="J31" s="233">
        <v>2927</v>
      </c>
      <c r="K31" s="233">
        <v>3831</v>
      </c>
      <c r="L31" s="233">
        <f>4851+212</f>
        <v>5063</v>
      </c>
    </row>
    <row r="32" spans="2:12" x14ac:dyDescent="0.3">
      <c r="B32" s="48" t="s">
        <v>218</v>
      </c>
      <c r="C32" s="47">
        <f t="shared" ref="C32:J32" si="12">SUM(C33:C35)</f>
        <v>148068</v>
      </c>
      <c r="D32" s="47">
        <f t="shared" si="12"/>
        <v>153555</v>
      </c>
      <c r="E32" s="47">
        <f t="shared" si="12"/>
        <v>152046</v>
      </c>
      <c r="F32" s="47">
        <f t="shared" si="12"/>
        <v>162235</v>
      </c>
      <c r="G32" s="47">
        <f t="shared" si="12"/>
        <v>162057</v>
      </c>
      <c r="H32" s="47">
        <f t="shared" si="12"/>
        <v>163169</v>
      </c>
      <c r="I32" s="47">
        <f t="shared" si="12"/>
        <v>164388</v>
      </c>
      <c r="J32" s="47">
        <f t="shared" si="12"/>
        <v>171133</v>
      </c>
      <c r="K32" s="47">
        <f t="shared" ref="K32:L32" si="13">SUM(K33:K35)</f>
        <v>175200</v>
      </c>
      <c r="L32" s="47">
        <f t="shared" si="13"/>
        <v>176545</v>
      </c>
    </row>
    <row r="33" spans="2:12" x14ac:dyDescent="0.3">
      <c r="B33" s="250" t="s">
        <v>299</v>
      </c>
      <c r="C33" s="233">
        <v>108899</v>
      </c>
      <c r="D33" s="233">
        <v>108802</v>
      </c>
      <c r="E33" s="233">
        <v>106842</v>
      </c>
      <c r="F33" s="233">
        <v>109199</v>
      </c>
      <c r="G33" s="233">
        <v>105661</v>
      </c>
      <c r="H33" s="233">
        <v>106444</v>
      </c>
      <c r="I33" s="233">
        <v>109009</v>
      </c>
      <c r="J33" s="233">
        <v>112856</v>
      </c>
      <c r="K33" s="233">
        <v>113367</v>
      </c>
      <c r="L33" s="233">
        <v>114699</v>
      </c>
    </row>
    <row r="34" spans="2:12" x14ac:dyDescent="0.3">
      <c r="B34" s="250" t="s">
        <v>307</v>
      </c>
      <c r="C34" s="233">
        <v>37786</v>
      </c>
      <c r="D34" s="252">
        <v>43565</v>
      </c>
      <c r="E34" s="252">
        <v>44456</v>
      </c>
      <c r="F34" s="252">
        <v>52203</v>
      </c>
      <c r="G34" s="252">
        <v>55425</v>
      </c>
      <c r="H34" s="233">
        <v>55412</v>
      </c>
      <c r="I34" s="233">
        <v>54077</v>
      </c>
      <c r="J34" s="233">
        <v>57181</v>
      </c>
      <c r="K34" s="233">
        <v>60759</v>
      </c>
      <c r="L34" s="233">
        <v>60708</v>
      </c>
    </row>
    <row r="35" spans="2:12" ht="15" thickBot="1" x14ac:dyDescent="0.35">
      <c r="B35" s="46" t="s">
        <v>328</v>
      </c>
      <c r="C35" s="45">
        <v>1383</v>
      </c>
      <c r="D35" s="45">
        <v>1188</v>
      </c>
      <c r="E35" s="45">
        <v>748</v>
      </c>
      <c r="F35" s="45">
        <v>833</v>
      </c>
      <c r="G35" s="45">
        <v>971</v>
      </c>
      <c r="H35" s="45">
        <v>1313</v>
      </c>
      <c r="I35" s="45">
        <v>1302</v>
      </c>
      <c r="J35" s="45">
        <v>1096</v>
      </c>
      <c r="K35" s="45">
        <v>1074</v>
      </c>
      <c r="L35" s="45">
        <v>1138</v>
      </c>
    </row>
    <row r="36" spans="2:12" x14ac:dyDescent="0.3">
      <c r="B36" s="44"/>
      <c r="C36" s="43"/>
      <c r="D36" s="43"/>
      <c r="E36" s="7"/>
      <c r="F36" s="7"/>
      <c r="G36" s="7"/>
      <c r="H36" s="42"/>
      <c r="I36" s="42"/>
      <c r="J36" s="42"/>
      <c r="K36" s="42"/>
      <c r="L36" s="42"/>
    </row>
    <row r="37" spans="2:12" x14ac:dyDescent="0.3">
      <c r="B37" s="7" t="s">
        <v>335</v>
      </c>
      <c r="C37" s="7"/>
      <c r="D37" s="7"/>
      <c r="E37" s="7"/>
      <c r="F37" s="7"/>
      <c r="G37" s="7"/>
    </row>
  </sheetData>
  <pageMargins left="0.74803149606299213" right="0.74803149606299213" top="0.98425196850393704" bottom="0.98425196850393704" header="0" footer="0"/>
  <pageSetup paperSize="9" scale="8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A864F8-C1F5-46D3-B1FE-BABB774F7E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57776-9EC6-4DE8-BF5C-DCEFECF240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7b11c1-3c24-45ed-ab34-9206c851c6fa"/>
    <ds:schemaRef ds:uri="http://purl.org/dc/elements/1.1/"/>
    <ds:schemaRef ds:uri="http://schemas.microsoft.com/office/2006/metadata/properties"/>
    <ds:schemaRef ds:uri="a9cbc2d2-085a-48b4-b18b-f7f7f500f3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CF3ACC-B4E1-457B-8409-B570152DF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1</vt:i4>
      </vt:variant>
    </vt:vector>
  </HeadingPairs>
  <TitlesOfParts>
    <vt:vector size="12" baseType="lpstr">
      <vt:lpstr>Índex</vt:lpstr>
      <vt:lpstr>Pàg. 1</vt:lpstr>
      <vt:lpstr>Pàg. 2</vt:lpstr>
      <vt:lpstr>Pàg. 3</vt:lpstr>
      <vt:lpstr>Pàg. 4</vt:lpstr>
      <vt:lpstr>Pàg.5</vt:lpstr>
      <vt:lpstr>Pàg. 6</vt:lpstr>
      <vt:lpstr>Pàg. 7</vt:lpstr>
      <vt:lpstr>Pàg. 8</vt:lpstr>
      <vt:lpstr>Pàg. 9</vt:lpstr>
      <vt:lpstr>Pàg. 10</vt:lpstr>
      <vt:lpstr>'Pàg. 1'!Àrea_d'impressió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estadístiques de 2019 de l'Administració de justícia</dc:title>
  <dc:subject/>
  <dc:creator>Generalitat de Catalunya. Departament de Justícia</dc:creator>
  <cp:keywords>estadístiques, Administració de justícia, dades, 2019</cp:keywords>
  <dc:description/>
  <cp:lastModifiedBy>Departament de Justícia</cp:lastModifiedBy>
  <cp:revision/>
  <dcterms:created xsi:type="dcterms:W3CDTF">2007-07-02T09:45:57Z</dcterms:created>
  <dcterms:modified xsi:type="dcterms:W3CDTF">2020-03-26T08:17:54Z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