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_AREA_DE_TREBALL\ESTADÍSTIQUES\01. Anuari DTES\2019_Anuari DTES\C06_Transports i Mobilitat\Documents finals\"/>
    </mc:Choice>
  </mc:AlternateContent>
  <bookViews>
    <workbookView xWindow="0" yWindow="0" windowWidth="9480" windowHeight="6080"/>
  </bookViews>
  <sheets>
    <sheet name="índex 6.12" sheetId="2" r:id="rId1"/>
    <sheet name="6.12.1" sheetId="3" r:id="rId2"/>
    <sheet name="6.12.2" sheetId="4" r:id="rId3"/>
    <sheet name="6.12.3" sheetId="5" r:id="rId4"/>
    <sheet name="6.12.4" sheetId="6" r:id="rId5"/>
    <sheet name="6.12.5" sheetId="7" r:id="rId6"/>
    <sheet name="6.12.6" sheetId="8" r:id="rId7"/>
    <sheet name="6.12.7" sheetId="9" r:id="rId8"/>
    <sheet name="6.12.8" sheetId="10" r:id="rId9"/>
    <sheet name="6.12.9" sheetId="11" r:id="rId10"/>
    <sheet name="6.12.10" sheetId="12" r:id="rId11"/>
    <sheet name="6.12.11" sheetId="13" r:id="rId12"/>
    <sheet name="6.12.12" sheetId="14" r:id="rId13"/>
    <sheet name="6.12.13" sheetId="15" r:id="rId14"/>
    <sheet name="6.12.14" sheetId="16" r:id="rId15"/>
    <sheet name="6.12.15" sheetId="17" r:id="rId16"/>
    <sheet name="6.12.16" sheetId="18" r:id="rId17"/>
  </sheets>
  <externalReferences>
    <externalReference r:id="rId18"/>
  </externalReferences>
  <definedNames>
    <definedName name="_xlnm.Print_Area" localSheetId="11">'6.12.11'!$A$1:$F$52</definedName>
    <definedName name="_xlnm.Print_Area" localSheetId="12">'6.12.12'!$A$1:$H$44</definedName>
    <definedName name="_xlnm.Print_Area" localSheetId="13">'6.12.13'!$A$1:$H$59</definedName>
    <definedName name="_xlnm.Print_Area" localSheetId="14">'6.12.14'!$A$1:$S$61</definedName>
    <definedName name="_xlnm.Print_Area" localSheetId="15">'6.12.15'!$A$1:$S$61</definedName>
    <definedName name="_xlnm.Print_Area" localSheetId="16">'6.12.16'!$A$1:$S$61</definedName>
    <definedName name="_xlnm.Print_Area" localSheetId="7">'6.12.7'!$A$1:$G$81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8" l="1"/>
  <c r="M57" i="18"/>
  <c r="I57" i="18"/>
  <c r="H57" i="18"/>
  <c r="G57" i="18"/>
  <c r="F57" i="18"/>
  <c r="E57" i="18"/>
  <c r="D57" i="18"/>
  <c r="C57" i="18"/>
  <c r="B57" i="18"/>
  <c r="S38" i="18"/>
  <c r="S37" i="18"/>
  <c r="S36" i="18"/>
  <c r="S35" i="18"/>
  <c r="S34" i="18"/>
  <c r="S33" i="18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R57" i="17"/>
  <c r="S57" i="17" s="1"/>
  <c r="M57" i="17"/>
  <c r="I57" i="17"/>
  <c r="H57" i="17"/>
  <c r="G57" i="17"/>
  <c r="F57" i="17"/>
  <c r="E57" i="17"/>
  <c r="D57" i="17"/>
  <c r="C57" i="17"/>
  <c r="B57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R57" i="16"/>
  <c r="S57" i="16" s="1"/>
  <c r="M57" i="16"/>
  <c r="I57" i="16"/>
  <c r="H57" i="16"/>
  <c r="G57" i="16"/>
  <c r="F57" i="16"/>
  <c r="E57" i="16"/>
  <c r="D57" i="16"/>
  <c r="C57" i="16"/>
  <c r="B57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B56" i="15"/>
  <c r="E32" i="15"/>
  <c r="H19" i="15"/>
  <c r="E36" i="14"/>
  <c r="H35" i="14"/>
  <c r="U36" i="12"/>
  <c r="T36" i="12"/>
  <c r="S36" i="12"/>
  <c r="R36" i="12"/>
  <c r="Q36" i="12"/>
  <c r="P36" i="12"/>
  <c r="O36" i="12"/>
  <c r="I36" i="12"/>
  <c r="D36" i="12"/>
  <c r="V35" i="12"/>
  <c r="H35" i="12"/>
  <c r="T33" i="12"/>
  <c r="L33" i="12"/>
  <c r="L36" i="12" s="1"/>
  <c r="J33" i="12"/>
  <c r="J36" i="12" s="1"/>
  <c r="I33" i="12"/>
  <c r="H33" i="12"/>
  <c r="H36" i="12" s="1"/>
  <c r="G33" i="12"/>
  <c r="G36" i="12" s="1"/>
  <c r="E33" i="12"/>
  <c r="E36" i="12" s="1"/>
  <c r="D33" i="12"/>
  <c r="B33" i="12"/>
  <c r="B36" i="12" s="1"/>
  <c r="H32" i="12"/>
  <c r="G32" i="12"/>
  <c r="C32" i="12"/>
  <c r="C33" i="12" s="1"/>
  <c r="C36" i="12" s="1"/>
  <c r="V31" i="12"/>
  <c r="F31" i="12"/>
  <c r="F33" i="12" s="1"/>
  <c r="F36" i="12" s="1"/>
  <c r="V30" i="12"/>
  <c r="T26" i="12"/>
  <c r="S26" i="12"/>
  <c r="R26" i="12"/>
  <c r="Q26" i="12"/>
  <c r="P26" i="12"/>
  <c r="O26" i="12"/>
  <c r="K26" i="12"/>
  <c r="J26" i="12"/>
  <c r="I26" i="12"/>
  <c r="H26" i="12"/>
  <c r="G26" i="12"/>
  <c r="E26" i="12"/>
  <c r="B26" i="12"/>
  <c r="V25" i="12"/>
  <c r="V23" i="12"/>
  <c r="U23" i="12"/>
  <c r="U26" i="12" s="1"/>
  <c r="T23" i="12"/>
  <c r="L23" i="12"/>
  <c r="L26" i="12" s="1"/>
  <c r="H23" i="12"/>
  <c r="G23" i="12"/>
  <c r="F23" i="12"/>
  <c r="F26" i="12" s="1"/>
  <c r="E23" i="12"/>
  <c r="D23" i="12"/>
  <c r="D26" i="12" s="1"/>
  <c r="C23" i="12"/>
  <c r="C26" i="12" s="1"/>
  <c r="B23" i="12"/>
  <c r="V22" i="12"/>
  <c r="V21" i="12"/>
  <c r="V20" i="12"/>
  <c r="U16" i="12"/>
  <c r="P16" i="12"/>
  <c r="O16" i="12"/>
  <c r="V15" i="12"/>
  <c r="H15" i="12"/>
  <c r="U13" i="12"/>
  <c r="T13" i="12"/>
  <c r="T16" i="12" s="1"/>
  <c r="L13" i="12"/>
  <c r="L16" i="12" s="1"/>
  <c r="K13" i="12"/>
  <c r="K16" i="12" s="1"/>
  <c r="J13" i="12"/>
  <c r="J16" i="12" s="1"/>
  <c r="I13" i="12"/>
  <c r="I16" i="12" s="1"/>
  <c r="H13" i="12"/>
  <c r="H16" i="12" s="1"/>
  <c r="F13" i="12"/>
  <c r="F16" i="12" s="1"/>
  <c r="E13" i="12"/>
  <c r="E16" i="12" s="1"/>
  <c r="D13" i="12"/>
  <c r="D16" i="12" s="1"/>
  <c r="C13" i="12"/>
  <c r="C16" i="12" s="1"/>
  <c r="B13" i="12"/>
  <c r="B16" i="12" s="1"/>
  <c r="V12" i="12"/>
  <c r="G12" i="12"/>
  <c r="V11" i="12"/>
  <c r="H11" i="12"/>
  <c r="G11" i="12"/>
  <c r="V10" i="12"/>
  <c r="G10" i="12"/>
  <c r="G13" i="12" s="1"/>
  <c r="G16" i="12" s="1"/>
  <c r="G41" i="11"/>
  <c r="C41" i="11"/>
  <c r="G40" i="11"/>
  <c r="C40" i="11"/>
  <c r="G39" i="11"/>
  <c r="C39" i="11"/>
  <c r="K38" i="11"/>
  <c r="G38" i="11"/>
  <c r="C38" i="11"/>
  <c r="K37" i="11"/>
  <c r="G37" i="11"/>
  <c r="C37" i="11"/>
  <c r="G36" i="11"/>
  <c r="C36" i="11"/>
  <c r="L35" i="11"/>
  <c r="G35" i="11"/>
  <c r="C35" i="11"/>
  <c r="L34" i="11"/>
  <c r="H34" i="11"/>
  <c r="C34" i="11"/>
  <c r="L33" i="11"/>
  <c r="H33" i="11"/>
  <c r="C33" i="11"/>
  <c r="L32" i="11"/>
  <c r="H32" i="11"/>
  <c r="D32" i="11"/>
  <c r="L31" i="11"/>
  <c r="H31" i="11"/>
  <c r="D31" i="11"/>
  <c r="L30" i="11"/>
  <c r="H30" i="11"/>
  <c r="D30" i="11"/>
  <c r="L29" i="11"/>
  <c r="H29" i="11"/>
  <c r="D29" i="11"/>
  <c r="K28" i="11"/>
  <c r="J28" i="11"/>
  <c r="L28" i="11" s="1"/>
  <c r="H28" i="11"/>
  <c r="G28" i="11"/>
  <c r="F28" i="11"/>
  <c r="C28" i="11"/>
  <c r="D28" i="11" s="1"/>
  <c r="B28" i="11"/>
  <c r="L27" i="11"/>
  <c r="G27" i="11"/>
  <c r="F27" i="11"/>
  <c r="H27" i="11" s="1"/>
  <c r="C27" i="11"/>
  <c r="B27" i="11"/>
  <c r="D27" i="11" s="1"/>
  <c r="K26" i="11"/>
  <c r="J26" i="11"/>
  <c r="L26" i="11" s="1"/>
  <c r="H26" i="11"/>
  <c r="G26" i="11"/>
  <c r="F26" i="11"/>
  <c r="C26" i="11"/>
  <c r="D26" i="11" s="1"/>
  <c r="B26" i="11"/>
  <c r="J25" i="11"/>
  <c r="L25" i="11" s="1"/>
  <c r="H25" i="11"/>
  <c r="G25" i="11"/>
  <c r="F25" i="11"/>
  <c r="C25" i="11"/>
  <c r="D25" i="11" s="1"/>
  <c r="B25" i="11"/>
  <c r="K24" i="11"/>
  <c r="J24" i="11"/>
  <c r="L24" i="11" s="1"/>
  <c r="H24" i="11"/>
  <c r="G24" i="11"/>
  <c r="F24" i="11"/>
  <c r="D24" i="11"/>
  <c r="C24" i="11"/>
  <c r="B24" i="11"/>
  <c r="K23" i="11"/>
  <c r="J23" i="11"/>
  <c r="L23" i="11" s="1"/>
  <c r="G23" i="11"/>
  <c r="F23" i="11"/>
  <c r="H23" i="11" s="1"/>
  <c r="C23" i="11"/>
  <c r="B23" i="11"/>
  <c r="D23" i="11" s="1"/>
  <c r="L22" i="11"/>
  <c r="K22" i="11"/>
  <c r="J22" i="11"/>
  <c r="G22" i="11"/>
  <c r="H22" i="11" s="1"/>
  <c r="F22" i="11"/>
  <c r="C22" i="11"/>
  <c r="B22" i="11"/>
  <c r="D22" i="11" s="1"/>
  <c r="L21" i="11"/>
  <c r="G21" i="11"/>
  <c r="F21" i="11"/>
  <c r="H21" i="11" s="1"/>
  <c r="C21" i="11"/>
  <c r="B21" i="11"/>
  <c r="D21" i="11" s="1"/>
  <c r="L20" i="11"/>
  <c r="J20" i="11"/>
  <c r="G20" i="11"/>
  <c r="F20" i="11"/>
  <c r="H20" i="11" s="1"/>
  <c r="C20" i="11"/>
  <c r="B20" i="11"/>
  <c r="D20" i="11" s="1"/>
  <c r="H19" i="11"/>
  <c r="G19" i="11"/>
  <c r="F19" i="11"/>
  <c r="C19" i="11"/>
  <c r="D19" i="11" s="1"/>
  <c r="B19" i="11"/>
  <c r="K41" i="10"/>
  <c r="G41" i="10"/>
  <c r="C41" i="10"/>
  <c r="K40" i="10"/>
  <c r="G40" i="10"/>
  <c r="C40" i="10"/>
  <c r="K39" i="10"/>
  <c r="G39" i="10"/>
  <c r="C39" i="10"/>
  <c r="K38" i="10"/>
  <c r="G38" i="10"/>
  <c r="C38" i="10"/>
  <c r="K37" i="10"/>
  <c r="G37" i="10"/>
  <c r="C37" i="10"/>
  <c r="K36" i="10"/>
  <c r="G36" i="10"/>
  <c r="C36" i="10"/>
  <c r="K35" i="10"/>
  <c r="G35" i="10"/>
  <c r="C35" i="10"/>
  <c r="G34" i="10"/>
  <c r="C34" i="10"/>
  <c r="G33" i="10"/>
  <c r="C33" i="10"/>
  <c r="L32" i="10"/>
  <c r="H32" i="10"/>
  <c r="D32" i="10"/>
  <c r="L31" i="10"/>
  <c r="H31" i="10"/>
  <c r="D31" i="10"/>
  <c r="L30" i="10"/>
  <c r="H30" i="10"/>
  <c r="D30" i="10"/>
  <c r="L29" i="10"/>
  <c r="H29" i="10"/>
  <c r="D29" i="10"/>
  <c r="K28" i="10"/>
  <c r="J28" i="10"/>
  <c r="L28" i="10" s="1"/>
  <c r="G28" i="10"/>
  <c r="H28" i="10" s="1"/>
  <c r="F28" i="10"/>
  <c r="C28" i="10"/>
  <c r="D28" i="10" s="1"/>
  <c r="B28" i="10"/>
  <c r="K27" i="10"/>
  <c r="L27" i="10" s="1"/>
  <c r="G27" i="10"/>
  <c r="H27" i="10" s="1"/>
  <c r="F27" i="10"/>
  <c r="C27" i="10"/>
  <c r="D27" i="10" s="1"/>
  <c r="B27" i="10"/>
  <c r="K26" i="10"/>
  <c r="J26" i="10"/>
  <c r="L26" i="10" s="1"/>
  <c r="G26" i="10"/>
  <c r="F26" i="10"/>
  <c r="H26" i="10" s="1"/>
  <c r="D26" i="10"/>
  <c r="C26" i="10"/>
  <c r="B26" i="10"/>
  <c r="L25" i="10"/>
  <c r="K25" i="10"/>
  <c r="H25" i="10"/>
  <c r="G25" i="10"/>
  <c r="F25" i="10"/>
  <c r="D25" i="10"/>
  <c r="C25" i="10"/>
  <c r="B25" i="10"/>
  <c r="L24" i="10"/>
  <c r="K24" i="10"/>
  <c r="J24" i="10"/>
  <c r="G24" i="10"/>
  <c r="F24" i="10"/>
  <c r="H24" i="10" s="1"/>
  <c r="C24" i="10"/>
  <c r="B24" i="10"/>
  <c r="D24" i="10" s="1"/>
  <c r="K23" i="10"/>
  <c r="L23" i="10" s="1"/>
  <c r="J23" i="10"/>
  <c r="G23" i="10"/>
  <c r="H23" i="10" s="1"/>
  <c r="F23" i="10"/>
  <c r="C23" i="10"/>
  <c r="B23" i="10"/>
  <c r="D23" i="10" s="1"/>
  <c r="L22" i="10"/>
  <c r="K22" i="10"/>
  <c r="J22" i="10"/>
  <c r="H22" i="10"/>
  <c r="G22" i="10"/>
  <c r="F22" i="10"/>
  <c r="D22" i="10"/>
  <c r="C22" i="10"/>
  <c r="B22" i="10"/>
  <c r="K21" i="10"/>
  <c r="J21" i="10"/>
  <c r="L21" i="10" s="1"/>
  <c r="G21" i="10"/>
  <c r="F21" i="10"/>
  <c r="H21" i="10" s="1"/>
  <c r="C21" i="10"/>
  <c r="D21" i="10" s="1"/>
  <c r="B21" i="10"/>
  <c r="K20" i="10"/>
  <c r="L20" i="10" s="1"/>
  <c r="J20" i="10"/>
  <c r="G20" i="10"/>
  <c r="F20" i="10"/>
  <c r="H20" i="10" s="1"/>
  <c r="D20" i="10"/>
  <c r="C20" i="10"/>
  <c r="B20" i="10"/>
  <c r="H19" i="10"/>
  <c r="G19" i="10"/>
  <c r="F19" i="10"/>
  <c r="D19" i="10"/>
  <c r="C19" i="10"/>
  <c r="B19" i="10"/>
  <c r="L12" i="10"/>
  <c r="L11" i="10"/>
  <c r="L10" i="10"/>
  <c r="L9" i="10"/>
  <c r="D80" i="9"/>
  <c r="F80" i="9" s="1"/>
  <c r="B80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4" i="9"/>
  <c r="F51" i="9"/>
  <c r="F50" i="9"/>
  <c r="F49" i="9"/>
  <c r="F48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27" i="9"/>
  <c r="D27" i="9"/>
  <c r="B27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1" i="9"/>
  <c r="F10" i="9"/>
  <c r="F9" i="9"/>
  <c r="F8" i="9"/>
  <c r="F7" i="9"/>
  <c r="F6" i="9"/>
  <c r="F5" i="9"/>
  <c r="AX22" i="8"/>
  <c r="AY22" i="8" s="1"/>
  <c r="AW22" i="8"/>
  <c r="AV22" i="8"/>
  <c r="AE22" i="8" s="1"/>
  <c r="AU22" i="8"/>
  <c r="AD22" i="8" s="1"/>
  <c r="AT22" i="8"/>
  <c r="AS22" i="8"/>
  <c r="AO22" i="8"/>
  <c r="AM22" i="8"/>
  <c r="AL22" i="8"/>
  <c r="AK22" i="8"/>
  <c r="AJ22" i="8"/>
  <c r="AA22" i="8"/>
  <c r="X22" i="8"/>
  <c r="W22" i="8"/>
  <c r="S22" i="8"/>
  <c r="P22" i="8"/>
  <c r="AG22" i="8" s="1"/>
  <c r="O22" i="8"/>
  <c r="Q22" i="8" s="1"/>
  <c r="N22" i="8"/>
  <c r="M22" i="8"/>
  <c r="L22" i="8"/>
  <c r="K22" i="8"/>
  <c r="G22" i="8"/>
  <c r="F22" i="8"/>
  <c r="E22" i="8"/>
  <c r="D22" i="8"/>
  <c r="C22" i="8"/>
  <c r="B22" i="8"/>
  <c r="AY20" i="8"/>
  <c r="AN20" i="8"/>
  <c r="AH20" i="8"/>
  <c r="AG20" i="8"/>
  <c r="AF20" i="8"/>
  <c r="AE20" i="8"/>
  <c r="AD20" i="8"/>
  <c r="AC20" i="8"/>
  <c r="AB20" i="8"/>
  <c r="AA20" i="8"/>
  <c r="Z20" i="8"/>
  <c r="Y20" i="8"/>
  <c r="V20" i="8"/>
  <c r="U20" i="8"/>
  <c r="T20" i="8"/>
  <c r="S20" i="8"/>
  <c r="Q20" i="8"/>
  <c r="AY19" i="8"/>
  <c r="AN19" i="8"/>
  <c r="AG19" i="8"/>
  <c r="AF19" i="8"/>
  <c r="AH19" i="8" s="1"/>
  <c r="AE19" i="8"/>
  <c r="AD19" i="8"/>
  <c r="AC19" i="8"/>
  <c r="AB19" i="8"/>
  <c r="AA19" i="8"/>
  <c r="Z19" i="8"/>
  <c r="Y19" i="8"/>
  <c r="V19" i="8"/>
  <c r="U19" i="8"/>
  <c r="T19" i="8"/>
  <c r="S19" i="8"/>
  <c r="Q19" i="8"/>
  <c r="AY18" i="8"/>
  <c r="AN18" i="8"/>
  <c r="AG18" i="8"/>
  <c r="AH18" i="8" s="1"/>
  <c r="AF18" i="8"/>
  <c r="AE18" i="8"/>
  <c r="AD18" i="8"/>
  <c r="AC18" i="8"/>
  <c r="AB18" i="8"/>
  <c r="AA18" i="8"/>
  <c r="Z18" i="8"/>
  <c r="Y18" i="8"/>
  <c r="V18" i="8"/>
  <c r="U18" i="8"/>
  <c r="T18" i="8"/>
  <c r="S18" i="8"/>
  <c r="Q18" i="8"/>
  <c r="AY17" i="8"/>
  <c r="AN17" i="8"/>
  <c r="AH17" i="8"/>
  <c r="AG17" i="8"/>
  <c r="AF17" i="8"/>
  <c r="AE17" i="8"/>
  <c r="AD17" i="8"/>
  <c r="AC17" i="8"/>
  <c r="AB17" i="8"/>
  <c r="AA17" i="8"/>
  <c r="Z17" i="8"/>
  <c r="Y17" i="8"/>
  <c r="V17" i="8"/>
  <c r="U17" i="8"/>
  <c r="T17" i="8"/>
  <c r="S17" i="8"/>
  <c r="Q17" i="8"/>
  <c r="AY16" i="8"/>
  <c r="AN16" i="8"/>
  <c r="AG16" i="8"/>
  <c r="AF16" i="8"/>
  <c r="AH16" i="8" s="1"/>
  <c r="AE16" i="8"/>
  <c r="AD16" i="8"/>
  <c r="AC16" i="8"/>
  <c r="AB16" i="8"/>
  <c r="AA16" i="8"/>
  <c r="Z16" i="8"/>
  <c r="Y16" i="8"/>
  <c r="V16" i="8"/>
  <c r="U16" i="8"/>
  <c r="T16" i="8"/>
  <c r="S16" i="8"/>
  <c r="Q16" i="8"/>
  <c r="AY15" i="8"/>
  <c r="AN15" i="8"/>
  <c r="AG15" i="8"/>
  <c r="AH15" i="8" s="1"/>
  <c r="AF15" i="8"/>
  <c r="AE15" i="8"/>
  <c r="AD15" i="8"/>
  <c r="AC15" i="8"/>
  <c r="AB15" i="8"/>
  <c r="AA15" i="8"/>
  <c r="Z15" i="8"/>
  <c r="Y15" i="8"/>
  <c r="V15" i="8"/>
  <c r="U15" i="8"/>
  <c r="T15" i="8"/>
  <c r="S15" i="8"/>
  <c r="Q15" i="8"/>
  <c r="AY14" i="8"/>
  <c r="AN14" i="8"/>
  <c r="AG14" i="8"/>
  <c r="AH14" i="8" s="1"/>
  <c r="AF14" i="8"/>
  <c r="AE14" i="8"/>
  <c r="AD14" i="8"/>
  <c r="AC14" i="8"/>
  <c r="AB14" i="8"/>
  <c r="AA14" i="8"/>
  <c r="Z14" i="8"/>
  <c r="Y14" i="8"/>
  <c r="V14" i="8"/>
  <c r="U14" i="8"/>
  <c r="T14" i="8"/>
  <c r="S14" i="8"/>
  <c r="Q14" i="8"/>
  <c r="AY13" i="8"/>
  <c r="AN13" i="8"/>
  <c r="AG13" i="8"/>
  <c r="AH13" i="8" s="1"/>
  <c r="AF13" i="8"/>
  <c r="AE13" i="8"/>
  <c r="AD13" i="8"/>
  <c r="AC13" i="8"/>
  <c r="AB13" i="8"/>
  <c r="AA13" i="8"/>
  <c r="Z13" i="8"/>
  <c r="Y13" i="8"/>
  <c r="V13" i="8"/>
  <c r="U13" i="8"/>
  <c r="T13" i="8"/>
  <c r="S13" i="8"/>
  <c r="Q13" i="8"/>
  <c r="AY12" i="8"/>
  <c r="AN12" i="8"/>
  <c r="AH12" i="8"/>
  <c r="AG12" i="8"/>
  <c r="AF12" i="8"/>
  <c r="AE12" i="8"/>
  <c r="AD12" i="8"/>
  <c r="AC12" i="8"/>
  <c r="AB12" i="8"/>
  <c r="AA12" i="8"/>
  <c r="Z12" i="8"/>
  <c r="Y12" i="8"/>
  <c r="V12" i="8"/>
  <c r="U12" i="8"/>
  <c r="T12" i="8"/>
  <c r="S12" i="8"/>
  <c r="Q12" i="8"/>
  <c r="AY11" i="8"/>
  <c r="AN11" i="8"/>
  <c r="AG11" i="8"/>
  <c r="AF11" i="8"/>
  <c r="AH11" i="8" s="1"/>
  <c r="AE11" i="8"/>
  <c r="AD11" i="8"/>
  <c r="AC11" i="8"/>
  <c r="AB11" i="8"/>
  <c r="AA11" i="8"/>
  <c r="Z11" i="8"/>
  <c r="Y11" i="8"/>
  <c r="V11" i="8"/>
  <c r="U11" i="8"/>
  <c r="T11" i="8"/>
  <c r="S11" i="8"/>
  <c r="Q11" i="8"/>
  <c r="AY10" i="8"/>
  <c r="AN10" i="8"/>
  <c r="AG10" i="8"/>
  <c r="AH10" i="8" s="1"/>
  <c r="AF10" i="8"/>
  <c r="AE10" i="8"/>
  <c r="AD10" i="8"/>
  <c r="AC10" i="8"/>
  <c r="AB10" i="8"/>
  <c r="AB22" i="8" s="1"/>
  <c r="AA10" i="8"/>
  <c r="Z10" i="8"/>
  <c r="Y10" i="8"/>
  <c r="V10" i="8"/>
  <c r="U10" i="8"/>
  <c r="T10" i="8"/>
  <c r="S10" i="8"/>
  <c r="Q10" i="8"/>
  <c r="AY9" i="8"/>
  <c r="AN9" i="8"/>
  <c r="AN22" i="8" s="1"/>
  <c r="AH9" i="8"/>
  <c r="AG9" i="8"/>
  <c r="AF9" i="8"/>
  <c r="AE9" i="8"/>
  <c r="AD9" i="8"/>
  <c r="AC9" i="8"/>
  <c r="AC22" i="8" s="1"/>
  <c r="AB9" i="8"/>
  <c r="AA9" i="8"/>
  <c r="Z9" i="8"/>
  <c r="Z22" i="8" s="1"/>
  <c r="Y9" i="8"/>
  <c r="Y22" i="8" s="1"/>
  <c r="V9" i="8"/>
  <c r="V22" i="8" s="1"/>
  <c r="U9" i="8"/>
  <c r="U22" i="8" s="1"/>
  <c r="T9" i="8"/>
  <c r="T22" i="8" s="1"/>
  <c r="S9" i="8"/>
  <c r="Q9" i="8"/>
  <c r="H82" i="7"/>
  <c r="D82" i="7"/>
  <c r="K81" i="7"/>
  <c r="G81" i="7"/>
  <c r="C81" i="7"/>
  <c r="K80" i="7"/>
  <c r="G80" i="7"/>
  <c r="C80" i="7"/>
  <c r="K79" i="7"/>
  <c r="G79" i="7"/>
  <c r="C79" i="7"/>
  <c r="K78" i="7"/>
  <c r="G78" i="7"/>
  <c r="C78" i="7"/>
  <c r="K77" i="7"/>
  <c r="G77" i="7"/>
  <c r="C77" i="7"/>
  <c r="K76" i="7"/>
  <c r="G76" i="7"/>
  <c r="C76" i="7"/>
  <c r="K75" i="7"/>
  <c r="G75" i="7"/>
  <c r="C75" i="7"/>
  <c r="K74" i="7"/>
  <c r="G74" i="7"/>
  <c r="C74" i="7"/>
  <c r="L73" i="7"/>
  <c r="H73" i="7"/>
  <c r="C73" i="7"/>
  <c r="L72" i="7"/>
  <c r="H72" i="7"/>
  <c r="C72" i="7"/>
  <c r="L71" i="7"/>
  <c r="H71" i="7"/>
  <c r="D71" i="7"/>
  <c r="L70" i="7"/>
  <c r="H70" i="7"/>
  <c r="D70" i="7"/>
  <c r="L69" i="7"/>
  <c r="H69" i="7"/>
  <c r="D69" i="7"/>
  <c r="L68" i="7"/>
  <c r="H68" i="7"/>
  <c r="D68" i="7"/>
  <c r="L67" i="7"/>
  <c r="H67" i="7"/>
  <c r="D67" i="7"/>
  <c r="L66" i="7"/>
  <c r="H66" i="7"/>
  <c r="D66" i="7"/>
  <c r="L65" i="7"/>
  <c r="H65" i="7"/>
  <c r="D65" i="7"/>
  <c r="L64" i="7"/>
  <c r="H64" i="7"/>
  <c r="D64" i="7"/>
  <c r="L63" i="7"/>
  <c r="H63" i="7"/>
  <c r="D63" i="7"/>
  <c r="J62" i="7"/>
  <c r="L62" i="7" s="1"/>
  <c r="H62" i="7"/>
  <c r="D62" i="7"/>
  <c r="L61" i="7"/>
  <c r="H61" i="7"/>
  <c r="D61" i="7"/>
  <c r="L60" i="7"/>
  <c r="G60" i="7"/>
  <c r="H60" i="7" s="1"/>
  <c r="F60" i="7"/>
  <c r="D60" i="7"/>
  <c r="L59" i="7"/>
  <c r="H59" i="7"/>
  <c r="D59" i="7"/>
  <c r="L58" i="7"/>
  <c r="H58" i="7"/>
  <c r="D58" i="7"/>
  <c r="L57" i="7"/>
  <c r="H57" i="7"/>
  <c r="D57" i="7"/>
  <c r="L56" i="7"/>
  <c r="H56" i="7"/>
  <c r="D56" i="7"/>
  <c r="L55" i="7"/>
  <c r="H55" i="7"/>
  <c r="D55" i="7"/>
  <c r="L54" i="7"/>
  <c r="H54" i="7"/>
  <c r="D54" i="7"/>
  <c r="L53" i="7"/>
  <c r="H53" i="7"/>
  <c r="D53" i="7"/>
  <c r="L52" i="7"/>
  <c r="H52" i="7"/>
  <c r="D52" i="7"/>
  <c r="L51" i="7"/>
  <c r="H51" i="7"/>
  <c r="D51" i="7"/>
  <c r="L50" i="7"/>
  <c r="H50" i="7"/>
  <c r="D50" i="7"/>
  <c r="L49" i="7"/>
  <c r="H49" i="7"/>
  <c r="D49" i="7"/>
  <c r="K41" i="7"/>
  <c r="G41" i="7"/>
  <c r="C41" i="7"/>
  <c r="K40" i="7"/>
  <c r="G40" i="7"/>
  <c r="C40" i="7"/>
  <c r="K39" i="7"/>
  <c r="G39" i="7"/>
  <c r="C39" i="7"/>
  <c r="K38" i="7"/>
  <c r="G38" i="7"/>
  <c r="C38" i="7"/>
  <c r="K37" i="7"/>
  <c r="G37" i="7"/>
  <c r="C37" i="7"/>
  <c r="K36" i="7"/>
  <c r="G36" i="7"/>
  <c r="C36" i="7"/>
  <c r="K35" i="7"/>
  <c r="G35" i="7"/>
  <c r="C35" i="7"/>
  <c r="K34" i="7"/>
  <c r="G34" i="7"/>
  <c r="C34" i="7"/>
  <c r="K33" i="7"/>
  <c r="G33" i="7"/>
  <c r="C33" i="7"/>
  <c r="L32" i="7"/>
  <c r="H32" i="7"/>
  <c r="D32" i="7"/>
  <c r="L31" i="7"/>
  <c r="H31" i="7"/>
  <c r="D31" i="7"/>
  <c r="L30" i="7"/>
  <c r="H30" i="7"/>
  <c r="D30" i="7"/>
  <c r="L29" i="7"/>
  <c r="H29" i="7"/>
  <c r="D29" i="7"/>
  <c r="L28" i="7"/>
  <c r="K28" i="7"/>
  <c r="J28" i="7"/>
  <c r="G28" i="7"/>
  <c r="F28" i="7"/>
  <c r="H28" i="7" s="1"/>
  <c r="C28" i="7"/>
  <c r="B28" i="7"/>
  <c r="D28" i="7" s="1"/>
  <c r="L27" i="7"/>
  <c r="K27" i="7"/>
  <c r="J27" i="7"/>
  <c r="G27" i="7"/>
  <c r="H27" i="7" s="1"/>
  <c r="F27" i="7"/>
  <c r="C27" i="7"/>
  <c r="D27" i="7" s="1"/>
  <c r="B27" i="7"/>
  <c r="K26" i="7"/>
  <c r="L26" i="7" s="1"/>
  <c r="J26" i="7"/>
  <c r="G26" i="7"/>
  <c r="F26" i="7"/>
  <c r="H26" i="7" s="1"/>
  <c r="D26" i="7"/>
  <c r="C26" i="7"/>
  <c r="B26" i="7"/>
  <c r="K25" i="7"/>
  <c r="J25" i="7"/>
  <c r="L25" i="7" s="1"/>
  <c r="G25" i="7"/>
  <c r="F25" i="7"/>
  <c r="H25" i="7" s="1"/>
  <c r="D25" i="7"/>
  <c r="C25" i="7"/>
  <c r="B25" i="7"/>
  <c r="K24" i="7"/>
  <c r="L24" i="7" s="1"/>
  <c r="J24" i="7"/>
  <c r="G24" i="7"/>
  <c r="H24" i="7" s="1"/>
  <c r="F24" i="7"/>
  <c r="C24" i="7"/>
  <c r="B24" i="7"/>
  <c r="D24" i="7" s="1"/>
  <c r="K23" i="7"/>
  <c r="J23" i="7"/>
  <c r="L23" i="7" s="1"/>
  <c r="H23" i="7"/>
  <c r="G23" i="7"/>
  <c r="F23" i="7"/>
  <c r="C23" i="7"/>
  <c r="B23" i="7"/>
  <c r="D23" i="7" s="1"/>
  <c r="K22" i="7"/>
  <c r="L22" i="7" s="1"/>
  <c r="J22" i="7"/>
  <c r="H22" i="7"/>
  <c r="G22" i="7"/>
  <c r="F22" i="7"/>
  <c r="C22" i="7"/>
  <c r="D22" i="7" s="1"/>
  <c r="B22" i="7"/>
  <c r="K21" i="7"/>
  <c r="L21" i="7" s="1"/>
  <c r="J21" i="7"/>
  <c r="G21" i="7"/>
  <c r="F21" i="7"/>
  <c r="H21" i="7" s="1"/>
  <c r="C21" i="7"/>
  <c r="B21" i="7"/>
  <c r="D21" i="7" s="1"/>
  <c r="L20" i="7"/>
  <c r="K20" i="7"/>
  <c r="J20" i="7"/>
  <c r="G20" i="7"/>
  <c r="F20" i="7"/>
  <c r="H20" i="7" s="1"/>
  <c r="C20" i="7"/>
  <c r="B20" i="7"/>
  <c r="D20" i="7" s="1"/>
  <c r="L19" i="7"/>
  <c r="K19" i="7"/>
  <c r="J19" i="7"/>
  <c r="G19" i="7"/>
  <c r="F19" i="7"/>
  <c r="C19" i="7"/>
  <c r="B19" i="7"/>
  <c r="D19" i="7" s="1"/>
  <c r="K41" i="6"/>
  <c r="L40" i="6"/>
  <c r="K40" i="6"/>
  <c r="J40" i="6"/>
  <c r="H40" i="6"/>
  <c r="F40" i="6"/>
  <c r="D40" i="6"/>
  <c r="C40" i="6"/>
  <c r="B40" i="6"/>
  <c r="L39" i="6"/>
  <c r="J39" i="6"/>
  <c r="H39" i="6"/>
  <c r="G39" i="6" s="1"/>
  <c r="F39" i="6"/>
  <c r="D39" i="6"/>
  <c r="B39" i="6"/>
  <c r="C39" i="6" s="1"/>
  <c r="K38" i="6"/>
  <c r="L38" i="6" s="1"/>
  <c r="J38" i="6"/>
  <c r="G38" i="6"/>
  <c r="F38" i="6"/>
  <c r="D38" i="6"/>
  <c r="C38" i="6"/>
  <c r="B38" i="6"/>
  <c r="L37" i="6"/>
  <c r="K37" i="6"/>
  <c r="J37" i="6"/>
  <c r="G37" i="6"/>
  <c r="F37" i="6"/>
  <c r="C37" i="6"/>
  <c r="B37" i="6"/>
  <c r="K36" i="6"/>
  <c r="J36" i="6"/>
  <c r="G36" i="6"/>
  <c r="H36" i="6" s="1"/>
  <c r="F36" i="6"/>
  <c r="C36" i="6"/>
  <c r="D36" i="6" s="1"/>
  <c r="B36" i="6"/>
  <c r="K35" i="6"/>
  <c r="J35" i="6"/>
  <c r="G35" i="6"/>
  <c r="F35" i="6"/>
  <c r="H35" i="6" s="1"/>
  <c r="C35" i="6"/>
  <c r="B35" i="6"/>
  <c r="D35" i="6" s="1"/>
  <c r="L34" i="6"/>
  <c r="H34" i="6"/>
  <c r="D34" i="6"/>
  <c r="J33" i="6"/>
  <c r="L33" i="6" s="1"/>
  <c r="L32" i="6"/>
  <c r="H32" i="6"/>
  <c r="D32" i="6"/>
  <c r="L31" i="6"/>
  <c r="H31" i="6"/>
  <c r="D31" i="6"/>
  <c r="L30" i="6"/>
  <c r="H30" i="6"/>
  <c r="D30" i="6"/>
  <c r="K29" i="6"/>
  <c r="J29" i="6"/>
  <c r="L29" i="6" s="1"/>
  <c r="G29" i="6"/>
  <c r="F29" i="6"/>
  <c r="H29" i="6" s="1"/>
  <c r="C29" i="6"/>
  <c r="B29" i="6"/>
  <c r="K28" i="6"/>
  <c r="J28" i="6"/>
  <c r="G28" i="6"/>
  <c r="F28" i="6"/>
  <c r="H28" i="6" s="1"/>
  <c r="D28" i="6"/>
  <c r="C28" i="6"/>
  <c r="B28" i="6"/>
  <c r="K27" i="6"/>
  <c r="J27" i="6"/>
  <c r="G27" i="6"/>
  <c r="F27" i="6"/>
  <c r="H27" i="6" s="1"/>
  <c r="C27" i="6"/>
  <c r="B27" i="6"/>
  <c r="D27" i="6" s="1"/>
  <c r="K26" i="6"/>
  <c r="J26" i="6"/>
  <c r="L26" i="6" s="1"/>
  <c r="G26" i="6"/>
  <c r="H26" i="6" s="1"/>
  <c r="F26" i="6"/>
  <c r="C26" i="6"/>
  <c r="B26" i="6"/>
  <c r="D26" i="6" s="1"/>
  <c r="K25" i="6"/>
  <c r="J25" i="6"/>
  <c r="L25" i="6" s="1"/>
  <c r="G25" i="6"/>
  <c r="F25" i="6"/>
  <c r="H25" i="6" s="1"/>
  <c r="C25" i="6"/>
  <c r="B25" i="6"/>
  <c r="D25" i="6" s="1"/>
  <c r="K24" i="6"/>
  <c r="J24" i="6"/>
  <c r="L24" i="6" s="1"/>
  <c r="G24" i="6"/>
  <c r="F24" i="6"/>
  <c r="H24" i="6" s="1"/>
  <c r="C24" i="6"/>
  <c r="D24" i="6" s="1"/>
  <c r="B24" i="6"/>
  <c r="K23" i="6"/>
  <c r="J23" i="6"/>
  <c r="L23" i="6" s="1"/>
  <c r="G23" i="6"/>
  <c r="F23" i="6"/>
  <c r="H23" i="6" s="1"/>
  <c r="C23" i="6"/>
  <c r="B23" i="6"/>
  <c r="D23" i="6" s="1"/>
  <c r="L22" i="6"/>
  <c r="K22" i="6"/>
  <c r="J22" i="6"/>
  <c r="G22" i="6"/>
  <c r="F22" i="6"/>
  <c r="H22" i="6" s="1"/>
  <c r="C22" i="6"/>
  <c r="B22" i="6"/>
  <c r="D22" i="6" s="1"/>
  <c r="K21" i="6"/>
  <c r="J21" i="6"/>
  <c r="G21" i="6"/>
  <c r="F21" i="6"/>
  <c r="C21" i="6"/>
  <c r="B21" i="6"/>
  <c r="D21" i="6" s="1"/>
  <c r="K20" i="6"/>
  <c r="J20" i="6"/>
  <c r="L20" i="6" s="1"/>
  <c r="G20" i="6"/>
  <c r="H20" i="6" s="1"/>
  <c r="F20" i="6"/>
  <c r="C20" i="6"/>
  <c r="B20" i="6"/>
  <c r="D20" i="6" s="1"/>
  <c r="K19" i="6"/>
  <c r="J19" i="6"/>
  <c r="L19" i="6" s="1"/>
  <c r="G19" i="6"/>
  <c r="F19" i="6"/>
  <c r="H19" i="6" s="1"/>
  <c r="C19" i="6"/>
  <c r="B19" i="6"/>
  <c r="D19" i="6" s="1"/>
  <c r="K18" i="6"/>
  <c r="J18" i="6"/>
  <c r="L18" i="6" s="1"/>
  <c r="G18" i="6"/>
  <c r="F18" i="6"/>
  <c r="H18" i="6" s="1"/>
  <c r="C18" i="6"/>
  <c r="B18" i="6"/>
  <c r="K17" i="6"/>
  <c r="J17" i="6"/>
  <c r="L17" i="6" s="1"/>
  <c r="H17" i="6"/>
  <c r="G17" i="6"/>
  <c r="F17" i="6"/>
  <c r="C17" i="6"/>
  <c r="B17" i="6"/>
  <c r="D17" i="6" s="1"/>
  <c r="K16" i="6"/>
  <c r="J16" i="6"/>
  <c r="L16" i="6" s="1"/>
  <c r="G16" i="6"/>
  <c r="F16" i="6"/>
  <c r="H16" i="6" s="1"/>
  <c r="C16" i="6"/>
  <c r="B16" i="6"/>
  <c r="D16" i="6" s="1"/>
  <c r="K15" i="6"/>
  <c r="J15" i="6"/>
  <c r="L15" i="6" s="1"/>
  <c r="G15" i="6"/>
  <c r="F15" i="6"/>
  <c r="H15" i="6" s="1"/>
  <c r="C15" i="6"/>
  <c r="B15" i="6"/>
  <c r="D15" i="6" s="1"/>
  <c r="K14" i="6"/>
  <c r="J14" i="6"/>
  <c r="L14" i="6" s="1"/>
  <c r="G14" i="6"/>
  <c r="F14" i="6"/>
  <c r="H14" i="6" s="1"/>
  <c r="C14" i="6"/>
  <c r="B14" i="6"/>
  <c r="D14" i="6" s="1"/>
  <c r="K13" i="6"/>
  <c r="J13" i="6"/>
  <c r="L13" i="6" s="1"/>
  <c r="G13" i="6"/>
  <c r="F13" i="6"/>
  <c r="H13" i="6" s="1"/>
  <c r="C13" i="6"/>
  <c r="B13" i="6"/>
  <c r="D13" i="6" s="1"/>
  <c r="K12" i="6"/>
  <c r="J12" i="6"/>
  <c r="L12" i="6" s="1"/>
  <c r="G12" i="6"/>
  <c r="F12" i="6"/>
  <c r="H12" i="6" s="1"/>
  <c r="D12" i="6"/>
  <c r="C12" i="6"/>
  <c r="B12" i="6"/>
  <c r="K11" i="6"/>
  <c r="J11" i="6"/>
  <c r="L11" i="6" s="1"/>
  <c r="G11" i="6"/>
  <c r="F11" i="6"/>
  <c r="H11" i="6" s="1"/>
  <c r="C11" i="6"/>
  <c r="B11" i="6"/>
  <c r="D11" i="6" s="1"/>
  <c r="K10" i="6"/>
  <c r="J10" i="6"/>
  <c r="L10" i="6" s="1"/>
  <c r="G10" i="6"/>
  <c r="F10" i="6"/>
  <c r="H10" i="6" s="1"/>
  <c r="C10" i="6"/>
  <c r="B10" i="6"/>
  <c r="D10" i="6" s="1"/>
  <c r="K9" i="6"/>
  <c r="L9" i="6" s="1"/>
  <c r="J9" i="6"/>
  <c r="G9" i="6"/>
  <c r="F9" i="6"/>
  <c r="H9" i="6" s="1"/>
  <c r="C9" i="6"/>
  <c r="B9" i="6"/>
  <c r="D9" i="6" s="1"/>
  <c r="E40" i="5"/>
  <c r="G40" i="5" s="1"/>
  <c r="E39" i="5"/>
  <c r="G39" i="5" s="1"/>
  <c r="E38" i="5"/>
  <c r="G38" i="5" s="1"/>
  <c r="G37" i="5"/>
  <c r="E37" i="5"/>
  <c r="E36" i="5"/>
  <c r="G36" i="5" s="1"/>
  <c r="E35" i="5"/>
  <c r="G35" i="5" s="1"/>
  <c r="E34" i="5"/>
  <c r="G34" i="5" s="1"/>
  <c r="G33" i="5"/>
  <c r="E33" i="5"/>
  <c r="E32" i="5"/>
  <c r="G32" i="5" s="1"/>
  <c r="I31" i="5"/>
  <c r="H31" i="5"/>
  <c r="E31" i="5"/>
  <c r="G31" i="5" s="1"/>
  <c r="I30" i="5"/>
  <c r="H30" i="5"/>
  <c r="E30" i="5"/>
  <c r="G30" i="5" s="1"/>
  <c r="I29" i="5"/>
  <c r="H29" i="5"/>
  <c r="E29" i="5"/>
  <c r="G29" i="5" s="1"/>
  <c r="I28" i="5"/>
  <c r="H28" i="5"/>
  <c r="E28" i="5"/>
  <c r="G28" i="5" s="1"/>
  <c r="I27" i="5"/>
  <c r="H27" i="5"/>
  <c r="E27" i="5"/>
  <c r="G27" i="5" s="1"/>
  <c r="I26" i="5"/>
  <c r="H26" i="5"/>
  <c r="E26" i="5"/>
  <c r="G26" i="5" s="1"/>
  <c r="I25" i="5"/>
  <c r="H25" i="5"/>
  <c r="E25" i="5"/>
  <c r="G25" i="5" s="1"/>
  <c r="I24" i="5"/>
  <c r="H24" i="5"/>
  <c r="E24" i="5"/>
  <c r="G24" i="5" s="1"/>
  <c r="I23" i="5"/>
  <c r="H23" i="5"/>
  <c r="E23" i="5"/>
  <c r="G23" i="5" s="1"/>
  <c r="I22" i="5"/>
  <c r="H22" i="5"/>
  <c r="E22" i="5"/>
  <c r="G22" i="5" s="1"/>
  <c r="I21" i="5"/>
  <c r="H21" i="5"/>
  <c r="E21" i="5"/>
  <c r="G21" i="5" s="1"/>
  <c r="I20" i="5"/>
  <c r="H20" i="5"/>
  <c r="E20" i="5"/>
  <c r="G20" i="5" s="1"/>
  <c r="I19" i="5"/>
  <c r="H19" i="5"/>
  <c r="E19" i="5"/>
  <c r="G19" i="5" s="1"/>
  <c r="I18" i="5"/>
  <c r="H18" i="5"/>
  <c r="E18" i="5"/>
  <c r="G18" i="5" s="1"/>
  <c r="I17" i="5"/>
  <c r="H17" i="5"/>
  <c r="E17" i="5"/>
  <c r="G17" i="5" s="1"/>
  <c r="I16" i="5"/>
  <c r="H16" i="5"/>
  <c r="E16" i="5"/>
  <c r="G16" i="5" s="1"/>
  <c r="I15" i="5"/>
  <c r="H15" i="5"/>
  <c r="E15" i="5"/>
  <c r="G15" i="5" s="1"/>
  <c r="I14" i="5"/>
  <c r="H14" i="5"/>
  <c r="E14" i="5"/>
  <c r="G14" i="5" s="1"/>
  <c r="I13" i="5"/>
  <c r="H13" i="5"/>
  <c r="E13" i="5"/>
  <c r="G13" i="5" s="1"/>
  <c r="I12" i="5"/>
  <c r="H12" i="5"/>
  <c r="E12" i="5"/>
  <c r="G12" i="5" s="1"/>
  <c r="I11" i="5"/>
  <c r="H11" i="5"/>
  <c r="E11" i="5"/>
  <c r="G11" i="5" s="1"/>
  <c r="I10" i="5"/>
  <c r="H10" i="5"/>
  <c r="E10" i="5"/>
  <c r="G10" i="5" s="1"/>
  <c r="I9" i="5"/>
  <c r="E9" i="5"/>
  <c r="G9" i="5" s="1"/>
  <c r="G8" i="5"/>
  <c r="E8" i="5"/>
  <c r="H9" i="5" s="1"/>
  <c r="E7" i="5"/>
  <c r="G40" i="4"/>
  <c r="I40" i="4" s="1"/>
  <c r="H39" i="4"/>
  <c r="I39" i="4" s="1"/>
  <c r="G39" i="4"/>
  <c r="H38" i="4"/>
  <c r="I38" i="4" s="1"/>
  <c r="G38" i="4"/>
  <c r="H37" i="4"/>
  <c r="G37" i="4"/>
  <c r="I37" i="4" s="1"/>
  <c r="I36" i="4"/>
  <c r="H36" i="4"/>
  <c r="G36" i="4"/>
  <c r="I35" i="4"/>
  <c r="H35" i="4"/>
  <c r="G35" i="4"/>
  <c r="H34" i="4"/>
  <c r="G34" i="4"/>
  <c r="I34" i="4" s="1"/>
  <c r="G33" i="4"/>
  <c r="I33" i="4" s="1"/>
  <c r="I32" i="4"/>
  <c r="G32" i="4"/>
  <c r="K31" i="4"/>
  <c r="G31" i="4"/>
  <c r="J31" i="4" s="1"/>
  <c r="K30" i="4"/>
  <c r="I30" i="4"/>
  <c r="G30" i="4"/>
  <c r="K29" i="4"/>
  <c r="G29" i="4"/>
  <c r="J29" i="4" s="1"/>
  <c r="K28" i="4"/>
  <c r="I28" i="4"/>
  <c r="G28" i="4"/>
  <c r="K27" i="4"/>
  <c r="G27" i="4"/>
  <c r="J27" i="4" s="1"/>
  <c r="K26" i="4"/>
  <c r="I26" i="4"/>
  <c r="G26" i="4"/>
  <c r="K25" i="4"/>
  <c r="G25" i="4"/>
  <c r="J25" i="4" s="1"/>
  <c r="K24" i="4"/>
  <c r="I24" i="4"/>
  <c r="G24" i="4"/>
  <c r="K23" i="4"/>
  <c r="G23" i="4"/>
  <c r="J23" i="4" s="1"/>
  <c r="K22" i="4"/>
  <c r="I22" i="4"/>
  <c r="G22" i="4"/>
  <c r="K21" i="4"/>
  <c r="G21" i="4"/>
  <c r="J21" i="4" s="1"/>
  <c r="K20" i="4"/>
  <c r="I20" i="4"/>
  <c r="G20" i="4"/>
  <c r="K19" i="4"/>
  <c r="G19" i="4"/>
  <c r="J19" i="4" s="1"/>
  <c r="K18" i="4"/>
  <c r="I18" i="4"/>
  <c r="G18" i="4"/>
  <c r="K17" i="4"/>
  <c r="G17" i="4"/>
  <c r="J17" i="4" s="1"/>
  <c r="K16" i="4"/>
  <c r="I16" i="4"/>
  <c r="G16" i="4"/>
  <c r="K15" i="4"/>
  <c r="G15" i="4"/>
  <c r="J15" i="4" s="1"/>
  <c r="K14" i="4"/>
  <c r="I14" i="4"/>
  <c r="G14" i="4"/>
  <c r="K13" i="4"/>
  <c r="G13" i="4"/>
  <c r="J13" i="4" s="1"/>
  <c r="K12" i="4"/>
  <c r="I12" i="4"/>
  <c r="G12" i="4"/>
  <c r="K11" i="4"/>
  <c r="G11" i="4"/>
  <c r="J11" i="4" s="1"/>
  <c r="K10" i="4"/>
  <c r="I10" i="4"/>
  <c r="G10" i="4"/>
  <c r="K9" i="4"/>
  <c r="G9" i="4"/>
  <c r="J9" i="4" s="1"/>
  <c r="G8" i="4"/>
  <c r="I8" i="4" s="1"/>
  <c r="G7" i="4"/>
  <c r="G40" i="3"/>
  <c r="I40" i="3" s="1"/>
  <c r="H39" i="3"/>
  <c r="G39" i="3"/>
  <c r="I39" i="3" s="1"/>
  <c r="H38" i="3"/>
  <c r="G38" i="3"/>
  <c r="I38" i="3" s="1"/>
  <c r="G37" i="3"/>
  <c r="I37" i="3" s="1"/>
  <c r="G36" i="3"/>
  <c r="I36" i="3" s="1"/>
  <c r="I35" i="3"/>
  <c r="G35" i="3"/>
  <c r="G34" i="3"/>
  <c r="I34" i="3" s="1"/>
  <c r="G33" i="3"/>
  <c r="I33" i="3" s="1"/>
  <c r="G32" i="3"/>
  <c r="I32" i="3" s="1"/>
  <c r="K31" i="3"/>
  <c r="G31" i="3"/>
  <c r="J31" i="3" s="1"/>
  <c r="K30" i="3"/>
  <c r="G30" i="3"/>
  <c r="I30" i="3" s="1"/>
  <c r="K29" i="3"/>
  <c r="G29" i="3"/>
  <c r="J30" i="3" s="1"/>
  <c r="K28" i="3"/>
  <c r="G28" i="3"/>
  <c r="I28" i="3" s="1"/>
  <c r="K27" i="3"/>
  <c r="G27" i="3"/>
  <c r="J28" i="3" s="1"/>
  <c r="K26" i="3"/>
  <c r="G26" i="3"/>
  <c r="I26" i="3" s="1"/>
  <c r="K25" i="3"/>
  <c r="G25" i="3"/>
  <c r="J26" i="3" s="1"/>
  <c r="K24" i="3"/>
  <c r="G24" i="3"/>
  <c r="I24" i="3" s="1"/>
  <c r="K23" i="3"/>
  <c r="G23" i="3"/>
  <c r="J24" i="3" s="1"/>
  <c r="K22" i="3"/>
  <c r="G22" i="3"/>
  <c r="I22" i="3" s="1"/>
  <c r="K21" i="3"/>
  <c r="G21" i="3"/>
  <c r="J22" i="3" s="1"/>
  <c r="K20" i="3"/>
  <c r="G20" i="3"/>
  <c r="I20" i="3" s="1"/>
  <c r="K19" i="3"/>
  <c r="G19" i="3"/>
  <c r="J20" i="3" s="1"/>
  <c r="K18" i="3"/>
  <c r="G18" i="3"/>
  <c r="I18" i="3" s="1"/>
  <c r="K17" i="3"/>
  <c r="G17" i="3"/>
  <c r="J18" i="3" s="1"/>
  <c r="K16" i="3"/>
  <c r="G16" i="3"/>
  <c r="I16" i="3" s="1"/>
  <c r="K15" i="3"/>
  <c r="G15" i="3"/>
  <c r="J16" i="3" s="1"/>
  <c r="K14" i="3"/>
  <c r="G14" i="3"/>
  <c r="I14" i="3" s="1"/>
  <c r="K13" i="3"/>
  <c r="G13" i="3"/>
  <c r="J14" i="3" s="1"/>
  <c r="K12" i="3"/>
  <c r="G12" i="3"/>
  <c r="I12" i="3" s="1"/>
  <c r="K11" i="3"/>
  <c r="G11" i="3"/>
  <c r="J12" i="3" s="1"/>
  <c r="K10" i="3"/>
  <c r="G10" i="3"/>
  <c r="I10" i="3" s="1"/>
  <c r="K9" i="3"/>
  <c r="G9" i="3"/>
  <c r="J10" i="3" s="1"/>
  <c r="G8" i="3"/>
  <c r="I8" i="3" s="1"/>
  <c r="G7" i="3"/>
  <c r="D29" i="6" l="1"/>
  <c r="L35" i="6"/>
  <c r="D37" i="6"/>
  <c r="H37" i="6"/>
  <c r="H38" i="6"/>
  <c r="G40" i="6"/>
  <c r="H21" i="6"/>
  <c r="K39" i="6"/>
  <c r="D18" i="6"/>
  <c r="L21" i="6"/>
  <c r="L27" i="6"/>
  <c r="L28" i="6"/>
  <c r="L36" i="6"/>
  <c r="V13" i="12"/>
  <c r="V33" i="12"/>
  <c r="AH22" i="8"/>
  <c r="AF22" i="8"/>
  <c r="J10" i="4"/>
  <c r="J12" i="4"/>
  <c r="J14" i="4"/>
  <c r="J16" i="4"/>
  <c r="J18" i="4"/>
  <c r="J20" i="4"/>
  <c r="J22" i="4"/>
  <c r="J24" i="4"/>
  <c r="J26" i="4"/>
  <c r="J28" i="4"/>
  <c r="J30" i="4"/>
  <c r="I9" i="4"/>
  <c r="I11" i="4"/>
  <c r="I13" i="4"/>
  <c r="I15" i="4"/>
  <c r="I17" i="4"/>
  <c r="I19" i="4"/>
  <c r="I21" i="4"/>
  <c r="I23" i="4"/>
  <c r="I25" i="4"/>
  <c r="I27" i="4"/>
  <c r="I29" i="4"/>
  <c r="I31" i="4"/>
  <c r="I9" i="3"/>
  <c r="I11" i="3"/>
  <c r="I13" i="3"/>
  <c r="I15" i="3"/>
  <c r="I17" i="3"/>
  <c r="I19" i="3"/>
  <c r="I21" i="3"/>
  <c r="I23" i="3"/>
  <c r="I25" i="3"/>
  <c r="I27" i="3"/>
  <c r="I29" i="3"/>
  <c r="I31" i="3"/>
  <c r="J9" i="3"/>
  <c r="J11" i="3"/>
  <c r="J13" i="3"/>
  <c r="J15" i="3"/>
  <c r="J17" i="3"/>
  <c r="J19" i="3"/>
  <c r="J21" i="3"/>
  <c r="J23" i="3"/>
  <c r="J25" i="3"/>
  <c r="J27" i="3"/>
  <c r="J29" i="3"/>
</calcChain>
</file>

<file path=xl/sharedStrings.xml><?xml version="1.0" encoding="utf-8"?>
<sst xmlns="http://schemas.openxmlformats.org/spreadsheetml/2006/main" count="961" uniqueCount="374">
  <si>
    <t>6.12</t>
  </si>
  <si>
    <t>Aeroports i instal·lacions aeroportuàries</t>
  </si>
  <si>
    <t>6.12.1</t>
  </si>
  <si>
    <t>Aeroports: tràfic d'aeronaus, 1987 - 2019</t>
  </si>
  <si>
    <t>6.12.2</t>
  </si>
  <si>
    <t>Aeroports: trànsit de passatgers, 1987 - 2019</t>
  </si>
  <si>
    <t>6.12.3</t>
  </si>
  <si>
    <t>Aeroports: tràfic de mercaderies. 1987 - 2019</t>
  </si>
  <si>
    <t>6.12.4</t>
  </si>
  <si>
    <t>Aeroports de Catalunya: moviment d'aeronaus, passatgers i mercaderies, 1987 - 2019</t>
  </si>
  <si>
    <t>6.12.5</t>
  </si>
  <si>
    <t>Aeroport de Barcelona: moviment d'aeronaus, passatgers i mercaderies, 1987 - 2019</t>
  </si>
  <si>
    <t>6.12.6</t>
  </si>
  <si>
    <t>Aeroport de Barcelona: trànsit de passatgers amb la resta d'aeroports espanyols, 2012 - 2019</t>
  </si>
  <si>
    <t>6.12.7</t>
  </si>
  <si>
    <t>6.12.8</t>
  </si>
  <si>
    <t>Aeroport de Girona: moviment d'aeronaus, passatgers i mercaderies, 1987 - 2019</t>
  </si>
  <si>
    <t>6.12.9</t>
  </si>
  <si>
    <t>Aeroport de Reus: moviment d'aeronaus, passatgers i mercaderies, 1987 - 2019</t>
  </si>
  <si>
    <t>6.12.10</t>
  </si>
  <si>
    <t>Aeroports de Catalunya: moviment d'aeronaus, passatgers i mercaderies, 2019</t>
  </si>
  <si>
    <t>6.12.11</t>
  </si>
  <si>
    <t>Aeroports de Catalunya: rànquing de companyies aèries per passatgers transportats, 2019</t>
  </si>
  <si>
    <t xml:space="preserve">6.12.12 </t>
  </si>
  <si>
    <t>Aeroports de Catalunya: Nombre de passatgers/eres transportats per companyies aèries, 2019</t>
  </si>
  <si>
    <t xml:space="preserve">6.12.13  </t>
  </si>
  <si>
    <t>Nombre de passatgers/eres amb origen als aeroports de Catalunya i les seves destinacions, 2019</t>
  </si>
  <si>
    <t>6.12.14</t>
  </si>
  <si>
    <t>Aeroports de l'Estat: moviment d'aeronaus, 2007 - 2019</t>
  </si>
  <si>
    <t>6.12.15</t>
  </si>
  <si>
    <t>Aeroports de l'Estat: moviment de passatgers, 2007 - 2019</t>
  </si>
  <si>
    <t>6.12.16</t>
  </si>
  <si>
    <t>Aeroports de l'Estat: moviment de mercaderies (en kg), 2007 - 2019</t>
  </si>
  <si>
    <t>6.12.1 Aeroports: tràfic d'aeronaus 1987 - 2019</t>
  </si>
  <si>
    <t>Moviment d'aeronaus (nombre)</t>
  </si>
  <si>
    <t>Total</t>
  </si>
  <si>
    <t>% Cat./</t>
  </si>
  <si>
    <t>Cat</t>
  </si>
  <si>
    <t>Esp</t>
  </si>
  <si>
    <t>Barcelona</t>
  </si>
  <si>
    <t>Girona</t>
  </si>
  <si>
    <t>Reus</t>
  </si>
  <si>
    <t>Sabadell</t>
  </si>
  <si>
    <t>Lleida*</t>
  </si>
  <si>
    <t>Catalunya</t>
  </si>
  <si>
    <t>Espanya</t>
  </si>
  <si>
    <t>% var</t>
  </si>
  <si>
    <t>Font: AENA, *Aeroports de Catalunya</t>
  </si>
  <si>
    <t>6.12.2 Aeroports: trànsit de passatgers, 1987 - 2019</t>
  </si>
  <si>
    <t>Moviment de passatgers (nombre)</t>
  </si>
  <si>
    <t>6.12.3 Aeroports: tràfic de mercaderies 1987 - 2019</t>
  </si>
  <si>
    <t>Moviment de mercaderies (en tones)</t>
  </si>
  <si>
    <t>-</t>
  </si>
  <si>
    <t>Font: AENA</t>
  </si>
  <si>
    <t>6.12.4 Aeroports de Catalunya: moviment d'aeronaus, passatgers i mercaderies, 1987 - 2019</t>
  </si>
  <si>
    <t>Moviment de mercaderies (t)</t>
  </si>
  <si>
    <t>Vols</t>
  </si>
  <si>
    <t>Vols no</t>
  </si>
  <si>
    <t>regulars</t>
  </si>
  <si>
    <t>Nota: a partir de l'any 2018 s'inclouen els vols de l'aeroport de Lleida- Algüaire, a les columnes del total, sense diferenciar entre vols regulars i no regulars.</t>
  </si>
  <si>
    <t>6.12.5 Aeroport de Barcelona: moviment d'aeronaus, passatgers i mercaderies, 1987 - 2019 (*)</t>
  </si>
  <si>
    <t>Moviment de passatgers (milers)</t>
  </si>
  <si>
    <t>interior</t>
  </si>
  <si>
    <t>internacional</t>
  </si>
  <si>
    <t>(*)El concepte Interior correspond al concepte Nacional d'Aena i el concepte Internacional és la suma de la resta. El concepte de Regular correspond al mateix servei d'Aena i el No Regular és la suma de la resta.</t>
  </si>
  <si>
    <t>Nota: comptabilitzat dins categoria passatgers: passatgers + transit</t>
  </si>
  <si>
    <t>A la categoria mercaderies no hem comptabilitzat els trànsits</t>
  </si>
  <si>
    <t>6.12.6 Aeroport de Barcelona:</t>
  </si>
  <si>
    <t>trànsit de passatgers amb la resta d'aeroports espanyols, 2012 - 2019</t>
  </si>
  <si>
    <t>Persones usuàries de la línia</t>
  </si>
  <si>
    <t>Passatgers</t>
  </si>
  <si>
    <t>Barcelona-Madrid</t>
  </si>
  <si>
    <t>resta d'Espanya (sense BCN-MDD)*</t>
  </si>
  <si>
    <t>var.19/18 %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</si>
  <si>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</si>
  <si>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</si>
  <si>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</si>
  <si>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</si>
  <si>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</si>
  <si>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</si>
  <si>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</si>
  <si>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</si>
  <si>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</si>
  <si>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</si>
  <si>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</si>
  <si>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</si>
  <si>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 xml:space="preserve">*BCN-MDD: Barcelona-Madrid. </t>
  </si>
  <si>
    <t>Transit per aeroports (kg)</t>
  </si>
  <si>
    <t>var. %</t>
  </si>
  <si>
    <t>HAMAD INTERNATIONAL</t>
  </si>
  <si>
    <t>DUBAI</t>
  </si>
  <si>
    <t>COLONIA/BONN</t>
  </si>
  <si>
    <t>LEIPZIG</t>
  </si>
  <si>
    <t>INCHEON INTL.</t>
  </si>
  <si>
    <t>NEW YORK /JOHN F.KENNEDY INTL</t>
  </si>
  <si>
    <t>ABU DHABI/INTERNACIONAL</t>
  </si>
  <si>
    <t>ISTANBUL NEW AIRPORT</t>
  </si>
  <si>
    <t xml:space="preserve">        -</t>
  </si>
  <si>
    <t>BRUSELAS</t>
  </si>
  <si>
    <t>PARIS/ CHARLES DE GAULLE</t>
  </si>
  <si>
    <t>HONG KONG /INTERNACIONAL</t>
  </si>
  <si>
    <t>SAO PAULO/GUARULHOS INTERNACIO</t>
  </si>
  <si>
    <t>NEWARK LIBERTY INTL</t>
  </si>
  <si>
    <t>SINGAPUR/ CHANGI</t>
  </si>
  <si>
    <t>BOGOTA/EL DORADO</t>
  </si>
  <si>
    <t>MIAMI /INTERNACIONAL</t>
  </si>
  <si>
    <t>ISTANBUL ATATURK</t>
  </si>
  <si>
    <t>AL MAKTOUM INTERNATIONAL</t>
  </si>
  <si>
    <t>LIEGE /BIERSET</t>
  </si>
  <si>
    <t>MADRID-BARAJAS ADOLFO SUÁREZ</t>
  </si>
  <si>
    <t>Resta</t>
  </si>
  <si>
    <t>Transit per països (kg)</t>
  </si>
  <si>
    <t>ALEMANYA</t>
  </si>
  <si>
    <t>EMIRATS ÀRABS UNITS</t>
  </si>
  <si>
    <t>ESTATS UNITS</t>
  </si>
  <si>
    <t>QATAR</t>
  </si>
  <si>
    <t>TURQUIA</t>
  </si>
  <si>
    <t>REPÚBLICA DE COREA</t>
  </si>
  <si>
    <t>BÈLGICA</t>
  </si>
  <si>
    <t>ESPANYA</t>
  </si>
  <si>
    <t>FRANÇA</t>
  </si>
  <si>
    <t>HONG KONG (CHINA)</t>
  </si>
  <si>
    <t>COLÒMIBA</t>
  </si>
  <si>
    <t xml:space="preserve">FEDERACIÓ RUSA </t>
  </si>
  <si>
    <t>CANADÀ</t>
  </si>
  <si>
    <t>SUÏSSA</t>
  </si>
  <si>
    <t>ITÀLIA</t>
  </si>
  <si>
    <t>MÈXIC</t>
  </si>
  <si>
    <t>ARGENTINA</t>
  </si>
  <si>
    <t>FINLÀNDIA</t>
  </si>
  <si>
    <t xml:space="preserve">ARGÈLIA </t>
  </si>
  <si>
    <t>REGNE UNIT</t>
  </si>
  <si>
    <t>Altres</t>
  </si>
  <si>
    <t>Transit per companyies aèries</t>
  </si>
  <si>
    <t>QATAR AIRWAYS</t>
  </si>
  <si>
    <t>EMIRATES</t>
  </si>
  <si>
    <t>UPS UNITED PARCEL SERVICE</t>
  </si>
  <si>
    <t>EUROPEAN AIR TRANSPORT LEIPZIG</t>
  </si>
  <si>
    <t>TURKISH AIRLINES</t>
  </si>
  <si>
    <t>AMERICAN AIRLINES INC.</t>
  </si>
  <si>
    <t>ETIHAD AIRWAYS</t>
  </si>
  <si>
    <t>DELTA AIR LINES Inc.</t>
  </si>
  <si>
    <t>KOREAN AIR LINES CO, LTD.</t>
  </si>
  <si>
    <t>FEDERAL EXPRESS CORPORATION (F</t>
  </si>
  <si>
    <t>NORWEGIAN AIR SHUTTLE ASA</t>
  </si>
  <si>
    <t>CATHAY PACIFIC AIRWAYS LTD.</t>
  </si>
  <si>
    <t>TAM LINHAS AEREAS, S.A.</t>
  </si>
  <si>
    <t>AIR CHINA</t>
  </si>
  <si>
    <t>SINGAPORE AIRLINES, LTD.</t>
  </si>
  <si>
    <t>AVIANCA</t>
  </si>
  <si>
    <t>ASIANA AIRLINES Inc.</t>
  </si>
  <si>
    <t>ASL AIRLINES BELGIUM</t>
  </si>
  <si>
    <t>IBERIA</t>
  </si>
  <si>
    <t xml:space="preserve">UNITED AIRLINES INC. SUCURSAL </t>
  </si>
  <si>
    <t>6.12.8 Aeroport de Girona: moviment d'aeronaus, passatgers i mercaderies, 1987 - 2019 (*)</t>
  </si>
  <si>
    <t>(*)El concepte de Regular correspond al mateix servei d'Aena i el No Regular és la suma de la resta.</t>
  </si>
  <si>
    <t>6.12.9 Aeroport de Reus: moviment d'aeronaus, passatgers i mercaderies, 1987 - 2019  (*)</t>
  </si>
  <si>
    <t>6.12.10 Aeroports de Catalunya: moviment d'aeronaus, passatgers i mercaderies, 2019(*)</t>
  </si>
  <si>
    <t>INTERIOR</t>
  </si>
  <si>
    <t>INTERNACIONAL</t>
  </si>
  <si>
    <t>TOTAL</t>
  </si>
  <si>
    <t>% var.</t>
  </si>
  <si>
    <t>nombre d'avions</t>
  </si>
  <si>
    <t>Catalunya/Espanya</t>
  </si>
  <si>
    <t>nombre de passatgers</t>
  </si>
  <si>
    <t>mercaderies (en tones)</t>
  </si>
  <si>
    <t xml:space="preserve">     </t>
  </si>
  <si>
    <t>(*)Aeroports d'AENA.
El concepte Interior correspon al concepte Nacional d'Aena i el concepte Internacional és la suma de la resta. El concepte de Regular correspon al mateix servei d'Aena i el No Regular és la suma de la resta.</t>
  </si>
  <si>
    <t>6.12.11 Aeroports de Catalunya: rànquing de companyies aèries per passatgers transportats, 2019</t>
  </si>
  <si>
    <t>Regular</t>
  </si>
  <si>
    <t>No regular</t>
  </si>
  <si>
    <t>Interior</t>
  </si>
  <si>
    <t>General</t>
  </si>
  <si>
    <t>VUELING AIRLINES, S.A.</t>
  </si>
  <si>
    <t>AIR EUROPA</t>
  </si>
  <si>
    <t>AZUR AIR</t>
  </si>
  <si>
    <t>RYANAIR DAC</t>
  </si>
  <si>
    <t>URAL AIRLINES</t>
  </si>
  <si>
    <t>EVELOP AIRLINES S.L.</t>
  </si>
  <si>
    <t>ROYAL FLIGHT AIRLINES, CJSC</t>
  </si>
  <si>
    <t>EASYJET EUROPE AIRLINE GMBH</t>
  </si>
  <si>
    <t>AIR NOSTRUM L.A. MEDITERRANEO</t>
  </si>
  <si>
    <t xml:space="preserve">EASYJET UK LTD </t>
  </si>
  <si>
    <t>GESTAIR S.A.</t>
  </si>
  <si>
    <t>NORWEGIAN AIR INTERNATIONAL</t>
  </si>
  <si>
    <t>DEUTSCHE LUFTHANSA A.G.</t>
  </si>
  <si>
    <t>PRIVILEGE STYLE, S. A.</t>
  </si>
  <si>
    <t>CLIPPER NATIONAL AIR, S.A.</t>
  </si>
  <si>
    <t>ENTER AIR SP Z.O.O.</t>
  </si>
  <si>
    <t>TUNIS AIR</t>
  </si>
  <si>
    <t>AVIACION PRIVADA</t>
  </si>
  <si>
    <t>SMARTWINGS POLAND SP.Z.O.O.</t>
  </si>
  <si>
    <t>WIZZ AIR HUNGARY LTD</t>
  </si>
  <si>
    <t>RYANAIR SUN S.A.</t>
  </si>
  <si>
    <t>BRITISH AIRWAYS</t>
  </si>
  <si>
    <t>ROSSIYA AIRLINES, OPEN JSC</t>
  </si>
  <si>
    <t>SENASA</t>
  </si>
  <si>
    <t>TUI AIRWAYS LTD</t>
  </si>
  <si>
    <t>JET2.COM LIMITED</t>
  </si>
  <si>
    <t>EUROPEAN AVIATION SCHOOL OF BA</t>
  </si>
  <si>
    <t>LOT-POLSKIE LINIE LOTNICZE</t>
  </si>
  <si>
    <t>TRANSAVIA HOLLAND B.V</t>
  </si>
  <si>
    <t>GREYBIRD AVIATION GROUP</t>
  </si>
  <si>
    <t>POBEDA AIRLINES LLC.</t>
  </si>
  <si>
    <t>AEROCLUB BARCELONA-SABADELL</t>
  </si>
  <si>
    <t>THOMAS COOK AIRLINES LTD</t>
  </si>
  <si>
    <t>UAB BAA TRAINING</t>
  </si>
  <si>
    <t>SMARTWINGS, A.S.</t>
  </si>
  <si>
    <t>TUI FLY (TUI AIRLINES BELGIUM)</t>
  </si>
  <si>
    <t>BRUSSELS AIRLINES N.V./S.A.</t>
  </si>
  <si>
    <t>AERBRAVA, S.C.P.</t>
  </si>
  <si>
    <t>CROATIA  AIRLINES</t>
  </si>
  <si>
    <t>NORD WIND LLC</t>
  </si>
  <si>
    <t>TUI AIRLINES NEDERLAND</t>
  </si>
  <si>
    <t>AERO LINK AIR SERVICES, S.L.</t>
  </si>
  <si>
    <t>LEASE FLY, S.A.</t>
  </si>
  <si>
    <t>ADRIA AIRWAYS</t>
  </si>
  <si>
    <t>INAER HELICOPTEROS - BABCOCK M</t>
  </si>
  <si>
    <t>R.A.C. DE REUS-COSTA DORADA</t>
  </si>
  <si>
    <t>OTRAS / ESPAÑA</t>
  </si>
  <si>
    <t>ALBA STAR, S.A.</t>
  </si>
  <si>
    <t>GRUP AIR MED S.A.</t>
  </si>
  <si>
    <t>MERCADONA, S.A.</t>
  </si>
  <si>
    <t>BA CITYFLYER LTD</t>
  </si>
  <si>
    <t>TITAN AIRWAYS,LTD</t>
  </si>
  <si>
    <t>SMARTLYNX AIRLINES ESTONIA</t>
  </si>
  <si>
    <t>EUROATLANTIC AIRWAYS</t>
  </si>
  <si>
    <t>SOCIEDAD AERONAUTICA PENINSULA</t>
  </si>
  <si>
    <t>6.12.12 Aeroports de Catalunya: Nombre de passatgers/eres transportats per companyies aèries, 2019</t>
  </si>
  <si>
    <t>Companyia aèria</t>
  </si>
  <si>
    <t>Passatgers/eres</t>
  </si>
  <si>
    <t>AIR FRANCE</t>
  </si>
  <si>
    <t>EUROWINGS GMBH</t>
  </si>
  <si>
    <t>TAP AIR PORTUGAL</t>
  </si>
  <si>
    <t>KLM ROYAL DUTCH AIRLINES</t>
  </si>
  <si>
    <t>SWISS INTERNATIONAL AIR LINES</t>
  </si>
  <si>
    <t>FLYBE LTD.</t>
  </si>
  <si>
    <t>LUXAIR - SOCIETE LUXEMBOURGEOI</t>
  </si>
  <si>
    <t>MIAMI AIR INTERNATIONAL</t>
  </si>
  <si>
    <t>AEROFLOT - RUSSIAN AIRLINES</t>
  </si>
  <si>
    <t>EASYJET SWITZERLAND SA</t>
  </si>
  <si>
    <t>ALITALIA, SOCIETÀ AEREA ITALIA</t>
  </si>
  <si>
    <t>FLY EGYPT</t>
  </si>
  <si>
    <t>HERON LUFTFAHRT GMBH &amp; CO.</t>
  </si>
  <si>
    <t>ALTRES COMPANYIES</t>
  </si>
  <si>
    <t>LAUDA MOTION GMBH</t>
  </si>
  <si>
    <t>AER LINGUS</t>
  </si>
  <si>
    <t>Total Reus</t>
  </si>
  <si>
    <t>FINNAIR OYJ</t>
  </si>
  <si>
    <t>Total Girona</t>
  </si>
  <si>
    <t>EL AL- ISRAEL AIRLINES, LTD.</t>
  </si>
  <si>
    <t>Total Barcelona</t>
  </si>
  <si>
    <t>6.12.13  Nombre de passatgers/eres amb origen als aeroports de Catalunya i les seves destinacions , 2019</t>
  </si>
  <si>
    <t>Origen Barcelona</t>
  </si>
  <si>
    <t>Origen Girona</t>
  </si>
  <si>
    <t>Origen Reus</t>
  </si>
  <si>
    <t>Destinació</t>
  </si>
  <si>
    <t>ESPAÑA</t>
  </si>
  <si>
    <t>REINO UNIDO</t>
  </si>
  <si>
    <t>HOLANDA</t>
  </si>
  <si>
    <t>IRLANDA</t>
  </si>
  <si>
    <t>ITALIA</t>
  </si>
  <si>
    <t>ALEMNIA</t>
  </si>
  <si>
    <t>FRANCIA</t>
  </si>
  <si>
    <t>BELGICA</t>
  </si>
  <si>
    <t>ALEMANIA</t>
  </si>
  <si>
    <t>BELGIA</t>
  </si>
  <si>
    <t>POLONIA</t>
  </si>
  <si>
    <t>ESTADOS UNIDOS</t>
  </si>
  <si>
    <t>SUIZA</t>
  </si>
  <si>
    <t>FEDERACION RUSA</t>
  </si>
  <si>
    <t>FEDERACIÓN RUSA</t>
  </si>
  <si>
    <t xml:space="preserve">ESPAÑA </t>
  </si>
  <si>
    <t>ESTONIA</t>
  </si>
  <si>
    <t>MARRUECOS</t>
  </si>
  <si>
    <t>BÉLGICA</t>
  </si>
  <si>
    <t>LETONIA</t>
  </si>
  <si>
    <t>REPUBLICA CHECA</t>
  </si>
  <si>
    <t>DINAMARCA</t>
  </si>
  <si>
    <t>EMIRATOS ÁRABES UNIDOS</t>
  </si>
  <si>
    <t>ESLOVAQUIA</t>
  </si>
  <si>
    <t>ALTRES DESTINACIONS</t>
  </si>
  <si>
    <t>AUSTRIA</t>
  </si>
  <si>
    <t>GRECIA</t>
  </si>
  <si>
    <t>LITUANIA</t>
  </si>
  <si>
    <t>RUMANIA</t>
  </si>
  <si>
    <t>MALTA</t>
  </si>
  <si>
    <t>SUECIA</t>
  </si>
  <si>
    <t>CROACIA</t>
  </si>
  <si>
    <t>ESLOVENIA</t>
  </si>
  <si>
    <t>LUXEMBURGO</t>
  </si>
  <si>
    <t>ISRAEL</t>
  </si>
  <si>
    <t>EGIPTO</t>
  </si>
  <si>
    <t>HUNGRIA</t>
  </si>
  <si>
    <t>UCRANIA</t>
  </si>
  <si>
    <t>CANADA</t>
  </si>
  <si>
    <t>FINLANDIA</t>
  </si>
  <si>
    <t>NORUEGA</t>
  </si>
  <si>
    <t>ARGELIA</t>
  </si>
  <si>
    <t>REPUBLICA DE COREA</t>
  </si>
  <si>
    <t>COLOMBIA</t>
  </si>
  <si>
    <t>BRASIL</t>
  </si>
  <si>
    <t>BULGARIA</t>
  </si>
  <si>
    <t>CHINA</t>
  </si>
  <si>
    <t>PERU</t>
  </si>
  <si>
    <t>SINGAPUR</t>
  </si>
  <si>
    <t>BIELORRUSIA</t>
  </si>
  <si>
    <t>CHILE</t>
  </si>
  <si>
    <t>TUNEZ</t>
  </si>
  <si>
    <t>MOLDAVIA</t>
  </si>
  <si>
    <t>6.12.14 Aeroports de l'Estat: moviment d'aeronaus 2007 - 2019</t>
  </si>
  <si>
    <t>% var.2019 s/2018</t>
  </si>
  <si>
    <t>Aeroports</t>
  </si>
  <si>
    <t>Adolfo Suárez Madrid - Barajas</t>
  </si>
  <si>
    <t>Barcelona- El Prat</t>
  </si>
  <si>
    <t>Palma de Mallorca</t>
  </si>
  <si>
    <t>Màlaga- Costa del sol</t>
  </si>
  <si>
    <t>Gran Canària</t>
  </si>
  <si>
    <t>Alacant- Elche</t>
  </si>
  <si>
    <t>Tenerife sud</t>
  </si>
  <si>
    <t>Eivissa</t>
  </si>
  <si>
    <t>València</t>
  </si>
  <si>
    <t>Tenerife nord</t>
  </si>
  <si>
    <t>Lanzarote</t>
  </si>
  <si>
    <t>Bilbao</t>
  </si>
  <si>
    <t>Sevilla</t>
  </si>
  <si>
    <t>Fuerteventura</t>
  </si>
  <si>
    <t>Xerès de la Frontera</t>
  </si>
  <si>
    <t>Madrid - Cuatro Vientos</t>
  </si>
  <si>
    <t>Menorca</t>
  </si>
  <si>
    <t>Santiago</t>
  </si>
  <si>
    <t>La Palma</t>
  </si>
  <si>
    <t>A Corunya</t>
  </si>
  <si>
    <t>Astúries</t>
  </si>
  <si>
    <t>Son Bonet</t>
  </si>
  <si>
    <t>--</t>
  </si>
  <si>
    <t>Almeria</t>
  </si>
  <si>
    <t>FGL Granada - Jaén</t>
  </si>
  <si>
    <t>Santander</t>
  </si>
  <si>
    <t>Vigo</t>
  </si>
  <si>
    <t>Múrcia - San Javier*</t>
  </si>
  <si>
    <t>Melilla</t>
  </si>
  <si>
    <t>Saragossa</t>
  </si>
  <si>
    <t xml:space="preserve">Còrdova </t>
  </si>
  <si>
    <t>Sant Sebastià</t>
  </si>
  <si>
    <t>Vitòria</t>
  </si>
  <si>
    <t>Pamplona</t>
  </si>
  <si>
    <t>Salamanca</t>
  </si>
  <si>
    <t>Valladolid</t>
  </si>
  <si>
    <t>El Hierrro</t>
  </si>
  <si>
    <t>Burgos</t>
  </si>
  <si>
    <t>Badajoz</t>
  </si>
  <si>
    <t>La Gomera</t>
  </si>
  <si>
    <t>Lleó</t>
  </si>
  <si>
    <t>Logronyo</t>
  </si>
  <si>
    <t>Ceuta / heliport</t>
  </si>
  <si>
    <t>Osca - Pirineus</t>
  </si>
  <si>
    <t>Albacete</t>
  </si>
  <si>
    <t>Algesires/heliport</t>
  </si>
  <si>
    <t>Madrid - Torrejón</t>
  </si>
  <si>
    <t xml:space="preserve">       -</t>
  </si>
  <si>
    <t>Aeroport Intl. Región Murcia**</t>
  </si>
  <si>
    <t>* La informació de l'Aeroport de Murcia-San Javier comprén des del dia 1al 14 de gener de 2019. Des del dia 15 de gener de 2019 aquest aeroport ha deixat d'operar.</t>
  </si>
  <si>
    <t>** L'aeroport Intl. Region Murcia ha començat a operar del del dia 15 de gener de 2019.</t>
  </si>
  <si>
    <t>6.12.15 Aeroports de l'Estat: passatgers 2007 - 2019</t>
  </si>
  <si>
    <t>Màlaga- Costa del Sol</t>
  </si>
  <si>
    <t>Alacant- Elx</t>
  </si>
  <si>
    <t>6.12.16 Aeroports de l'Estat: mercaderies (en kg), 2007 - 2019</t>
  </si>
  <si>
    <t>Xères de la Frontera</t>
  </si>
  <si>
    <t>Algesires/ Heliport</t>
  </si>
  <si>
    <t>Aeroport Intl. Regió Múrcia**</t>
  </si>
  <si>
    <t>** L'aeroport Intl. Región Murcia ha començat a operar del del dia 15 de gener de 2019.</t>
  </si>
  <si>
    <t>6.12.7 Aeroport de Barcelona: Moviment de mercaderies per destinacions, 2018 - 2019</t>
  </si>
  <si>
    <t>Aeroport de Barcelona: Moviment de mercaderies per destinacions,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</si>
</sst>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_-* #,##0\ _P_t_s_-;\-* #,##0\ _P_t_s_-;_-* &quot;-&quot;\ _P_t_s_-;_-@_-"/>
  </numFmts>
  <fonts count="2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4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666666"/>
      <name val="Arial"/>
      <family val="2"/>
    </font>
    <font>
      <sz val="9"/>
      <color indexed="10"/>
      <name val="Arial"/>
      <family val="2"/>
    </font>
    <font>
      <sz val="10"/>
      <color theme="5"/>
      <name val="Arial"/>
      <family val="2"/>
    </font>
    <font>
      <sz val="8"/>
      <color theme="5"/>
      <name val="Arial"/>
      <family val="2"/>
    </font>
    <font>
      <sz val="9"/>
      <color theme="5"/>
      <name val="Arial"/>
      <family val="2"/>
    </font>
    <font>
      <b/>
      <sz val="9"/>
      <color theme="5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348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 applyProtection="1"/>
    <xf numFmtId="0" fontId="5" fillId="0" borderId="0" xfId="1" applyFont="1"/>
    <xf numFmtId="0" fontId="5" fillId="2" borderId="0" xfId="1" applyFont="1" applyFill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3" fontId="5" fillId="0" borderId="0" xfId="1" applyNumberFormat="1" applyFont="1" applyProtection="1">
      <protection locked="0"/>
    </xf>
    <xf numFmtId="3" fontId="5" fillId="0" borderId="0" xfId="1" applyNumberFormat="1" applyFont="1"/>
    <xf numFmtId="3" fontId="5" fillId="0" borderId="0" xfId="1" applyNumberFormat="1" applyFont="1" applyAlignment="1">
      <alignment horizontal="center"/>
    </xf>
    <xf numFmtId="0" fontId="6" fillId="0" borderId="0" xfId="1" applyFont="1"/>
    <xf numFmtId="3" fontId="6" fillId="0" borderId="0" xfId="1" applyNumberFormat="1" applyFont="1" applyBorder="1" applyProtection="1">
      <protection locked="0"/>
    </xf>
    <xf numFmtId="3" fontId="6" fillId="0" borderId="0" xfId="1" applyNumberFormat="1" applyFont="1" applyBorder="1"/>
    <xf numFmtId="3" fontId="6" fillId="0" borderId="0" xfId="1" applyNumberFormat="1" applyFont="1" applyBorder="1" applyAlignment="1">
      <alignment horizontal="center"/>
    </xf>
    <xf numFmtId="3" fontId="6" fillId="0" borderId="1" xfId="1" applyNumberFormat="1" applyFont="1" applyBorder="1" applyAlignment="1" applyProtection="1">
      <alignment horizontal="left"/>
      <protection locked="0"/>
    </xf>
    <xf numFmtId="3" fontId="6" fillId="0" borderId="1" xfId="1" applyNumberFormat="1" applyFont="1" applyBorder="1" applyAlignment="1" applyProtection="1">
      <alignment horizontal="centerContinuous"/>
      <protection locked="0"/>
    </xf>
    <xf numFmtId="3" fontId="6" fillId="0" borderId="1" xfId="1" applyNumberFormat="1" applyFont="1" applyBorder="1"/>
    <xf numFmtId="3" fontId="6" fillId="0" borderId="1" xfId="1" applyNumberFormat="1" applyFont="1" applyBorder="1" applyAlignment="1">
      <alignment horizontal="center"/>
    </xf>
    <xf numFmtId="164" fontId="6" fillId="3" borderId="0" xfId="1" applyNumberFormat="1" applyFont="1" applyFill="1" applyBorder="1" applyProtection="1">
      <protection locked="0"/>
    </xf>
    <xf numFmtId="3" fontId="6" fillId="3" borderId="0" xfId="1" applyNumberFormat="1" applyFont="1" applyFill="1" applyBorder="1" applyAlignment="1" applyProtection="1">
      <alignment horizontal="right"/>
      <protection locked="0"/>
    </xf>
    <xf numFmtId="3" fontId="6" fillId="3" borderId="0" xfId="1" applyNumberFormat="1" applyFont="1" applyFill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6" fillId="3" borderId="1" xfId="1" applyNumberFormat="1" applyFont="1" applyFill="1" applyBorder="1" applyAlignment="1" applyProtection="1">
      <alignment horizontal="left"/>
      <protection locked="0"/>
    </xf>
    <xf numFmtId="3" fontId="6" fillId="3" borderId="1" xfId="1" applyNumberFormat="1" applyFont="1" applyFill="1" applyBorder="1" applyAlignment="1" applyProtection="1">
      <alignment horizontal="right"/>
      <protection locked="0"/>
    </xf>
    <xf numFmtId="0" fontId="6" fillId="3" borderId="1" xfId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1" fontId="6" fillId="0" borderId="0" xfId="1" applyNumberFormat="1" applyFont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right"/>
      <protection locked="0"/>
    </xf>
    <xf numFmtId="0" fontId="6" fillId="0" borderId="0" xfId="1" applyFont="1" applyAlignment="1">
      <alignment horizontal="right"/>
    </xf>
    <xf numFmtId="3" fontId="6" fillId="0" borderId="0" xfId="1" applyNumberFormat="1" applyFont="1" applyAlignment="1">
      <alignment horizontal="right"/>
    </xf>
    <xf numFmtId="1" fontId="6" fillId="0" borderId="0" xfId="1" applyNumberFormat="1" applyFont="1" applyAlignment="1" applyProtection="1">
      <alignment horizontal="center"/>
      <protection locked="0"/>
    </xf>
    <xf numFmtId="3" fontId="7" fillId="0" borderId="0" xfId="1" applyNumberFormat="1" applyFont="1" applyAlignment="1" applyProtection="1">
      <alignment horizontal="right"/>
      <protection locked="0"/>
    </xf>
    <xf numFmtId="3" fontId="7" fillId="0" borderId="0" xfId="1" applyNumberFormat="1" applyFont="1" applyAlignment="1">
      <alignment horizontal="right"/>
    </xf>
    <xf numFmtId="0" fontId="7" fillId="0" borderId="0" xfId="1" applyFont="1"/>
    <xf numFmtId="165" fontId="7" fillId="0" borderId="0" xfId="1" applyNumberFormat="1" applyFont="1" applyAlignment="1">
      <alignment horizontal="right"/>
    </xf>
    <xf numFmtId="1" fontId="6" fillId="4" borderId="0" xfId="1" applyNumberFormat="1" applyFont="1" applyFill="1" applyAlignment="1" applyProtection="1">
      <alignment horizontal="center"/>
      <protection locked="0"/>
    </xf>
    <xf numFmtId="3" fontId="7" fillId="4" borderId="0" xfId="1" applyNumberFormat="1" applyFont="1" applyFill="1" applyAlignment="1" applyProtection="1">
      <alignment horizontal="right"/>
      <protection locked="0"/>
    </xf>
    <xf numFmtId="3" fontId="6" fillId="4" borderId="0" xfId="1" applyNumberFormat="1" applyFont="1" applyFill="1" applyAlignment="1">
      <alignment horizontal="right"/>
    </xf>
    <xf numFmtId="3" fontId="7" fillId="4" borderId="0" xfId="1" applyNumberFormat="1" applyFont="1" applyFill="1" applyAlignment="1">
      <alignment horizontal="right"/>
    </xf>
    <xf numFmtId="165" fontId="7" fillId="4" borderId="0" xfId="1" applyNumberFormat="1" applyFont="1" applyFill="1" applyAlignment="1">
      <alignment horizontal="right"/>
    </xf>
    <xf numFmtId="1" fontId="6" fillId="0" borderId="0" xfId="1" applyNumberFormat="1" applyFont="1" applyBorder="1" applyAlignment="1" applyProtection="1">
      <alignment horizontal="center"/>
      <protection locked="0"/>
    </xf>
    <xf numFmtId="1" fontId="6" fillId="0" borderId="0" xfId="1" applyNumberFormat="1" applyFont="1" applyFill="1" applyAlignment="1" applyProtection="1">
      <alignment horizontal="center"/>
      <protection locked="0"/>
    </xf>
    <xf numFmtId="3" fontId="7" fillId="0" borderId="0" xfId="1" applyNumberFormat="1" applyFont="1" applyFill="1" applyAlignment="1" applyProtection="1">
      <alignment horizontal="right"/>
      <protection locked="0"/>
    </xf>
    <xf numFmtId="3" fontId="6" fillId="0" borderId="0" xfId="1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right"/>
    </xf>
    <xf numFmtId="165" fontId="7" fillId="0" borderId="0" xfId="1" applyNumberFormat="1" applyFont="1" applyFill="1" applyAlignment="1">
      <alignment horizontal="right"/>
    </xf>
    <xf numFmtId="1" fontId="6" fillId="5" borderId="0" xfId="1" applyNumberFormat="1" applyFont="1" applyFill="1" applyAlignment="1" applyProtection="1">
      <alignment horizontal="center"/>
      <protection locked="0"/>
    </xf>
    <xf numFmtId="3" fontId="7" fillId="5" borderId="0" xfId="1" applyNumberFormat="1" applyFont="1" applyFill="1" applyAlignment="1" applyProtection="1">
      <alignment horizontal="right"/>
      <protection locked="0"/>
    </xf>
    <xf numFmtId="3" fontId="7" fillId="5" borderId="0" xfId="1" applyNumberFormat="1" applyFont="1" applyFill="1" applyAlignment="1">
      <alignment horizontal="right"/>
    </xf>
    <xf numFmtId="1" fontId="6" fillId="0" borderId="1" xfId="1" applyNumberFormat="1" applyFont="1" applyBorder="1" applyAlignment="1" applyProtection="1">
      <alignment horizontal="center"/>
      <protection locked="0"/>
    </xf>
    <xf numFmtId="3" fontId="6" fillId="0" borderId="1" xfId="1" applyNumberFormat="1" applyFont="1" applyBorder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3" fontId="7" fillId="0" borderId="0" xfId="1" applyNumberFormat="1" applyFont="1"/>
    <xf numFmtId="3" fontId="7" fillId="0" borderId="0" xfId="1" applyNumberFormat="1" applyFont="1" applyAlignment="1">
      <alignment horizontal="center"/>
    </xf>
    <xf numFmtId="1" fontId="6" fillId="0" borderId="0" xfId="1" applyNumberFormat="1" applyFont="1" applyProtection="1">
      <protection locked="0"/>
    </xf>
    <xf numFmtId="0" fontId="6" fillId="0" borderId="0" xfId="1" applyFont="1" applyAlignment="1">
      <alignment horizontal="center"/>
    </xf>
    <xf numFmtId="0" fontId="7" fillId="0" borderId="0" xfId="1" applyFont="1" applyAlignment="1" applyProtection="1">
      <alignment horizontal="left"/>
      <protection locked="0"/>
    </xf>
    <xf numFmtId="3" fontId="6" fillId="0" borderId="0" xfId="1" applyNumberFormat="1" applyFont="1"/>
    <xf numFmtId="3" fontId="6" fillId="0" borderId="0" xfId="1" applyNumberFormat="1" applyFont="1" applyAlignment="1">
      <alignment horizontal="center"/>
    </xf>
    <xf numFmtId="1" fontId="6" fillId="0" borderId="0" xfId="1" applyNumberFormat="1" applyFont="1" applyProtection="1"/>
    <xf numFmtId="3" fontId="6" fillId="0" borderId="0" xfId="1" applyNumberFormat="1" applyFont="1" applyProtection="1">
      <protection locked="0"/>
    </xf>
    <xf numFmtId="1" fontId="6" fillId="0" borderId="0" xfId="1" applyNumberFormat="1" applyFont="1" applyBorder="1" applyProtection="1"/>
    <xf numFmtId="0" fontId="7" fillId="0" borderId="0" xfId="1" applyFont="1" applyBorder="1"/>
    <xf numFmtId="3" fontId="7" fillId="0" borderId="0" xfId="1" applyNumberFormat="1" applyFont="1" applyProtection="1">
      <protection locked="0"/>
    </xf>
    <xf numFmtId="0" fontId="9" fillId="0" borderId="0" xfId="1" applyFont="1"/>
    <xf numFmtId="0" fontId="6" fillId="0" borderId="0" xfId="1" applyFont="1" applyProtection="1">
      <protection locked="0"/>
    </xf>
    <xf numFmtId="0" fontId="1" fillId="0" borderId="0" xfId="1"/>
    <xf numFmtId="3" fontId="6" fillId="5" borderId="0" xfId="1" applyNumberFormat="1" applyFont="1" applyFill="1" applyAlignment="1">
      <alignment horizontal="right"/>
    </xf>
    <xf numFmtId="1" fontId="6" fillId="0" borderId="1" xfId="1" applyNumberFormat="1" applyFont="1" applyBorder="1" applyProtection="1">
      <protection locked="0"/>
    </xf>
    <xf numFmtId="3" fontId="6" fillId="0" borderId="1" xfId="1" applyNumberFormat="1" applyFont="1" applyBorder="1" applyAlignment="1" applyProtection="1">
      <alignment horizontal="right"/>
      <protection locked="0"/>
    </xf>
    <xf numFmtId="3" fontId="1" fillId="0" borderId="0" xfId="1" applyNumberFormat="1"/>
    <xf numFmtId="0" fontId="1" fillId="0" borderId="0" xfId="1" applyAlignment="1">
      <alignment horizontal="center"/>
    </xf>
    <xf numFmtId="165" fontId="7" fillId="5" borderId="0" xfId="1" applyNumberFormat="1" applyFont="1" applyFill="1" applyAlignment="1">
      <alignment horizontal="right"/>
    </xf>
    <xf numFmtId="0" fontId="6" fillId="3" borderId="2" xfId="1" applyFont="1" applyFill="1" applyBorder="1" applyProtection="1">
      <protection locked="0"/>
    </xf>
    <xf numFmtId="3" fontId="6" fillId="3" borderId="3" xfId="1" applyNumberFormat="1" applyFont="1" applyFill="1" applyBorder="1" applyAlignment="1" applyProtection="1">
      <alignment horizontal="centerContinuous"/>
      <protection locked="0"/>
    </xf>
    <xf numFmtId="3" fontId="6" fillId="3" borderId="2" xfId="1" applyNumberFormat="1" applyFont="1" applyFill="1" applyBorder="1"/>
    <xf numFmtId="164" fontId="6" fillId="3" borderId="0" xfId="1" applyNumberFormat="1" applyFont="1" applyFill="1" applyProtection="1">
      <protection locked="0"/>
    </xf>
    <xf numFmtId="3" fontId="6" fillId="3" borderId="0" xfId="1" applyNumberFormat="1" applyFont="1" applyFill="1" applyAlignment="1" applyProtection="1">
      <alignment horizontal="right"/>
      <protection locked="0"/>
    </xf>
    <xf numFmtId="3" fontId="6" fillId="3" borderId="0" xfId="1" applyNumberFormat="1" applyFont="1" applyFill="1" applyAlignment="1">
      <alignment horizontal="right"/>
    </xf>
    <xf numFmtId="3" fontId="7" fillId="4" borderId="0" xfId="1" applyNumberFormat="1" applyFont="1" applyFill="1"/>
    <xf numFmtId="1" fontId="6" fillId="0" borderId="1" xfId="1" applyNumberFormat="1" applyFont="1" applyBorder="1" applyProtection="1"/>
    <xf numFmtId="3" fontId="6" fillId="0" borderId="1" xfId="1" applyNumberFormat="1" applyFont="1" applyBorder="1" applyAlignment="1" applyProtection="1">
      <alignment horizontal="right"/>
    </xf>
    <xf numFmtId="3" fontId="6" fillId="0" borderId="0" xfId="1" applyNumberFormat="1" applyFont="1" applyBorder="1" applyProtection="1"/>
    <xf numFmtId="0" fontId="10" fillId="0" borderId="0" xfId="1" applyFont="1"/>
    <xf numFmtId="164" fontId="6" fillId="3" borderId="0" xfId="1" applyNumberFormat="1" applyFont="1" applyFill="1" applyAlignment="1" applyProtection="1">
      <alignment horizontal="center"/>
      <protection locked="0"/>
    </xf>
    <xf numFmtId="164" fontId="6" fillId="3" borderId="1" xfId="1" applyNumberFormat="1" applyFont="1" applyFill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center"/>
    </xf>
    <xf numFmtId="3" fontId="6" fillId="0" borderId="1" xfId="1" applyNumberFormat="1" applyFont="1" applyFill="1" applyBorder="1" applyAlignment="1">
      <alignment horizontal="right"/>
    </xf>
    <xf numFmtId="3" fontId="10" fillId="0" borderId="0" xfId="1" applyNumberFormat="1" applyFont="1" applyProtection="1">
      <protection locked="0"/>
    </xf>
    <xf numFmtId="0" fontId="1" fillId="0" borderId="0" xfId="1" applyAlignment="1">
      <alignment horizontal="right"/>
    </xf>
    <xf numFmtId="3" fontId="7" fillId="0" borderId="0" xfId="1" applyNumberFormat="1" applyFont="1" applyBorder="1" applyAlignment="1" applyProtection="1">
      <alignment horizontal="right"/>
      <protection locked="0"/>
    </xf>
    <xf numFmtId="1" fontId="6" fillId="4" borderId="0" xfId="1" applyNumberFormat="1" applyFont="1" applyFill="1" applyBorder="1" applyAlignment="1" applyProtection="1">
      <alignment horizontal="center"/>
      <protection locked="0"/>
    </xf>
    <xf numFmtId="0" fontId="1" fillId="4" borderId="0" xfId="1" applyFill="1" applyAlignment="1">
      <alignment horizontal="right"/>
    </xf>
    <xf numFmtId="3" fontId="7" fillId="4" borderId="0" xfId="1" applyNumberFormat="1" applyFont="1" applyFill="1" applyBorder="1" applyAlignment="1" applyProtection="1">
      <alignment horizontal="right"/>
      <protection locked="0"/>
    </xf>
    <xf numFmtId="3" fontId="7" fillId="4" borderId="0" xfId="1" applyNumberFormat="1" applyFont="1" applyFill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Border="1" applyAlignment="1">
      <alignment horizontal="right"/>
    </xf>
    <xf numFmtId="3" fontId="7" fillId="4" borderId="0" xfId="3" applyNumberFormat="1" applyFont="1" applyFill="1" applyAlignment="1">
      <alignment horizontal="right"/>
    </xf>
    <xf numFmtId="3" fontId="7" fillId="4" borderId="0" xfId="3" applyNumberFormat="1" applyFont="1" applyFill="1" applyBorder="1" applyAlignment="1">
      <alignment horizontal="right"/>
    </xf>
    <xf numFmtId="1" fontId="6" fillId="0" borderId="0" xfId="1" applyNumberFormat="1" applyFont="1" applyFill="1" applyBorder="1" applyAlignment="1" applyProtection="1">
      <alignment horizontal="center"/>
      <protection locked="0"/>
    </xf>
    <xf numFmtId="3" fontId="7" fillId="0" borderId="0" xfId="1" applyNumberFormat="1" applyFont="1" applyFill="1"/>
    <xf numFmtId="3" fontId="7" fillId="0" borderId="0" xfId="3" applyNumberFormat="1" applyFont="1" applyFill="1" applyAlignment="1">
      <alignment horizontal="right"/>
    </xf>
    <xf numFmtId="0" fontId="1" fillId="0" borderId="0" xfId="1" applyFill="1" applyAlignment="1">
      <alignment horizontal="right"/>
    </xf>
    <xf numFmtId="3" fontId="7" fillId="0" borderId="0" xfId="3" applyNumberFormat="1" applyFont="1" applyFill="1" applyBorder="1" applyAlignment="1">
      <alignment horizontal="right"/>
    </xf>
    <xf numFmtId="1" fontId="6" fillId="5" borderId="0" xfId="1" applyNumberFormat="1" applyFont="1" applyFill="1" applyBorder="1" applyAlignment="1" applyProtection="1">
      <alignment horizontal="center"/>
      <protection locked="0"/>
    </xf>
    <xf numFmtId="3" fontId="7" fillId="5" borderId="0" xfId="1" applyNumberFormat="1" applyFont="1" applyFill="1"/>
    <xf numFmtId="3" fontId="7" fillId="5" borderId="0" xfId="3" applyNumberFormat="1" applyFont="1" applyFill="1" applyAlignment="1">
      <alignment horizontal="right"/>
    </xf>
    <xf numFmtId="0" fontId="1" fillId="5" borderId="0" xfId="1" applyFill="1" applyAlignment="1">
      <alignment horizontal="right"/>
    </xf>
    <xf numFmtId="3" fontId="7" fillId="5" borderId="0" xfId="3" applyNumberFormat="1" applyFont="1" applyFill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0" xfId="1" applyAlignment="1"/>
    <xf numFmtId="3" fontId="6" fillId="0" borderId="0" xfId="3" applyNumberFormat="1" applyFont="1"/>
    <xf numFmtId="0" fontId="1" fillId="0" borderId="1" xfId="1" applyBorder="1"/>
    <xf numFmtId="0" fontId="1" fillId="0" borderId="0" xfId="1" applyBorder="1"/>
    <xf numFmtId="0" fontId="1" fillId="3" borderId="0" xfId="1" applyFill="1" applyBorder="1"/>
    <xf numFmtId="0" fontId="6" fillId="0" borderId="0" xfId="1" applyFont="1" applyBorder="1" applyProtection="1">
      <protection locked="0"/>
    </xf>
    <xf numFmtId="0" fontId="6" fillId="0" borderId="0" xfId="1" applyFont="1" applyBorder="1" applyAlignment="1">
      <alignment horizontal="right"/>
    </xf>
    <xf numFmtId="164" fontId="6" fillId="0" borderId="0" xfId="1" applyNumberFormat="1" applyFont="1" applyBorder="1" applyProtection="1">
      <protection locked="0"/>
    </xf>
    <xf numFmtId="164" fontId="6" fillId="0" borderId="0" xfId="1" applyNumberFormat="1" applyFont="1" applyBorder="1" applyAlignment="1" applyProtection="1">
      <alignment horizontal="right"/>
      <protection locked="0"/>
    </xf>
    <xf numFmtId="3" fontId="6" fillId="0" borderId="0" xfId="1" applyNumberFormat="1" applyFont="1" applyBorder="1" applyAlignment="1" applyProtection="1">
      <alignment horizontal="center" wrapText="1"/>
      <protection locked="0"/>
    </xf>
    <xf numFmtId="3" fontId="6" fillId="0" borderId="0" xfId="1" applyNumberFormat="1" applyFont="1" applyBorder="1" applyAlignment="1" applyProtection="1">
      <alignment horizontal="center"/>
      <protection locked="0"/>
    </xf>
    <xf numFmtId="3" fontId="6" fillId="0" borderId="2" xfId="1" applyNumberFormat="1" applyFont="1" applyBorder="1" applyAlignment="1" applyProtection="1">
      <alignment horizontal="center"/>
      <protection locked="0"/>
    </xf>
    <xf numFmtId="0" fontId="1" fillId="0" borderId="2" xfId="1" applyBorder="1"/>
    <xf numFmtId="164" fontId="6" fillId="0" borderId="1" xfId="1" applyNumberFormat="1" applyFont="1" applyBorder="1" applyAlignment="1" applyProtection="1">
      <alignment horizontal="lef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9" fillId="0" borderId="1" xfId="1" applyFont="1" applyBorder="1"/>
    <xf numFmtId="0" fontId="9" fillId="3" borderId="1" xfId="1" applyFont="1" applyFill="1" applyBorder="1"/>
    <xf numFmtId="3" fontId="6" fillId="3" borderId="1" xfId="1" applyNumberFormat="1" applyFont="1" applyFill="1" applyBorder="1" applyAlignment="1" applyProtection="1">
      <alignment horizontal="right" wrapText="1"/>
      <protection locked="0"/>
    </xf>
    <xf numFmtId="0" fontId="6" fillId="0" borderId="1" xfId="1" applyNumberFormat="1" applyFont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right"/>
    </xf>
    <xf numFmtId="0" fontId="6" fillId="0" borderId="1" xfId="1" applyFont="1" applyBorder="1" applyAlignment="1"/>
    <xf numFmtId="0" fontId="9" fillId="0" borderId="1" xfId="1" applyFont="1" applyBorder="1" applyAlignment="1"/>
    <xf numFmtId="1" fontId="6" fillId="0" borderId="0" xfId="1" applyNumberFormat="1" applyFont="1" applyAlignment="1" applyProtection="1">
      <alignment horizontal="right"/>
      <protection locked="0"/>
    </xf>
    <xf numFmtId="3" fontId="6" fillId="0" borderId="0" xfId="1" applyNumberFormat="1" applyFont="1" applyAlignment="1" applyProtection="1">
      <protection locked="0"/>
    </xf>
    <xf numFmtId="3" fontId="7" fillId="0" borderId="0" xfId="1" applyNumberFormat="1" applyFont="1" applyAlignment="1">
      <alignment horizontal="right" wrapText="1"/>
    </xf>
    <xf numFmtId="165" fontId="7" fillId="0" borderId="0" xfId="1" applyNumberFormat="1" applyFont="1" applyAlignment="1" applyProtection="1">
      <alignment horizontal="right"/>
      <protection locked="0"/>
    </xf>
    <xf numFmtId="10" fontId="7" fillId="0" borderId="0" xfId="1" applyNumberFormat="1" applyFont="1" applyAlignment="1" applyProtection="1">
      <alignment horizontal="right"/>
      <protection locked="0"/>
    </xf>
    <xf numFmtId="3" fontId="7" fillId="0" borderId="0" xfId="1" applyNumberFormat="1" applyFont="1" applyAlignment="1" applyProtection="1">
      <protection locked="0"/>
    </xf>
    <xf numFmtId="1" fontId="6" fillId="4" borderId="0" xfId="1" applyNumberFormat="1" applyFont="1" applyFill="1" applyAlignment="1" applyProtection="1">
      <alignment horizontal="left"/>
      <protection locked="0"/>
    </xf>
    <xf numFmtId="3" fontId="7" fillId="4" borderId="0" xfId="1" applyNumberFormat="1" applyFont="1" applyFill="1" applyAlignment="1">
      <alignment horizontal="right" wrapText="1"/>
    </xf>
    <xf numFmtId="10" fontId="7" fillId="4" borderId="0" xfId="1" applyNumberFormat="1" applyFont="1" applyFill="1" applyAlignment="1" applyProtection="1">
      <alignment horizontal="right"/>
      <protection locked="0"/>
    </xf>
    <xf numFmtId="3" fontId="7" fillId="4" borderId="0" xfId="1" applyNumberFormat="1" applyFont="1" applyFill="1" applyAlignment="1" applyProtection="1">
      <protection locked="0"/>
    </xf>
    <xf numFmtId="1" fontId="12" fillId="0" borderId="0" xfId="1" applyNumberFormat="1" applyFont="1" applyAlignment="1" applyProtection="1">
      <alignment horizontal="right"/>
      <protection locked="0"/>
    </xf>
    <xf numFmtId="1" fontId="6" fillId="3" borderId="3" xfId="1" applyNumberFormat="1" applyFont="1" applyFill="1" applyBorder="1" applyAlignment="1" applyProtection="1">
      <alignment horizontal="left" vertical="center"/>
      <protection locked="0"/>
    </xf>
    <xf numFmtId="3" fontId="6" fillId="3" borderId="3" xfId="1" applyNumberFormat="1" applyFont="1" applyFill="1" applyBorder="1" applyAlignment="1" applyProtection="1">
      <alignment horizontal="right" vertical="center"/>
      <protection locked="0"/>
    </xf>
    <xf numFmtId="165" fontId="6" fillId="3" borderId="3" xfId="1" applyNumberFormat="1" applyFont="1" applyFill="1" applyBorder="1" applyAlignment="1" applyProtection="1">
      <alignment horizontal="center" vertical="center"/>
      <protection locked="0"/>
    </xf>
    <xf numFmtId="10" fontId="6" fillId="3" borderId="3" xfId="1" applyNumberFormat="1" applyFont="1" applyFill="1" applyBorder="1" applyAlignment="1" applyProtection="1">
      <alignment horizontal="right" vertical="center"/>
      <protection locked="0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vertical="center"/>
    </xf>
    <xf numFmtId="3" fontId="1" fillId="2" borderId="0" xfId="1" applyNumberFormat="1" applyFill="1" applyAlignment="1">
      <alignment horizontal="right" wrapText="1"/>
    </xf>
    <xf numFmtId="165" fontId="0" fillId="0" borderId="0" xfId="4" applyNumberFormat="1" applyFont="1"/>
    <xf numFmtId="0" fontId="1" fillId="2" borderId="0" xfId="1" applyFill="1"/>
    <xf numFmtId="0" fontId="1" fillId="2" borderId="0" xfId="1" applyFill="1" applyBorder="1"/>
    <xf numFmtId="0" fontId="6" fillId="3" borderId="3" xfId="1" applyFont="1" applyFill="1" applyBorder="1"/>
    <xf numFmtId="0" fontId="6" fillId="3" borderId="3" xfId="1" applyFont="1" applyFill="1" applyBorder="1" applyAlignment="1">
      <alignment horizontal="center"/>
    </xf>
    <xf numFmtId="0" fontId="7" fillId="3" borderId="3" xfId="1" applyFont="1" applyFill="1" applyBorder="1"/>
    <xf numFmtId="165" fontId="9" fillId="3" borderId="3" xfId="5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/>
    <xf numFmtId="0" fontId="7" fillId="5" borderId="0" xfId="1" applyFont="1" applyFill="1" applyBorder="1"/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0" fontId="7" fillId="2" borderId="0" xfId="1" applyFont="1" applyFill="1" applyBorder="1"/>
    <xf numFmtId="0" fontId="11" fillId="2" borderId="0" xfId="1" applyFont="1" applyFill="1"/>
    <xf numFmtId="3" fontId="7" fillId="2" borderId="0" xfId="1" applyNumberFormat="1" applyFont="1" applyFill="1"/>
    <xf numFmtId="10" fontId="7" fillId="2" borderId="0" xfId="1" applyNumberFormat="1" applyFont="1" applyFill="1" applyBorder="1"/>
    <xf numFmtId="0" fontId="7" fillId="5" borderId="0" xfId="1" applyFont="1" applyFill="1"/>
    <xf numFmtId="0" fontId="11" fillId="5" borderId="0" xfId="1" applyFont="1" applyFill="1" applyBorder="1"/>
    <xf numFmtId="0" fontId="11" fillId="4" borderId="0" xfId="1" applyFont="1" applyFill="1"/>
    <xf numFmtId="0" fontId="1" fillId="4" borderId="0" xfId="1" applyFill="1"/>
    <xf numFmtId="10" fontId="7" fillId="4" borderId="0" xfId="1" applyNumberFormat="1" applyFont="1" applyFill="1" applyBorder="1"/>
    <xf numFmtId="3" fontId="7" fillId="2" borderId="0" xfId="1" applyNumberFormat="1" applyFont="1" applyFill="1" applyBorder="1"/>
    <xf numFmtId="3" fontId="7" fillId="4" borderId="0" xfId="1" applyNumberFormat="1" applyFont="1" applyFill="1" applyAlignment="1">
      <alignment horizontal="center" vertical="center"/>
    </xf>
    <xf numFmtId="0" fontId="7" fillId="0" borderId="0" xfId="1" applyFont="1" applyFill="1" applyBorder="1"/>
    <xf numFmtId="3" fontId="6" fillId="3" borderId="3" xfId="1" applyNumberFormat="1" applyFont="1" applyFill="1" applyBorder="1"/>
    <xf numFmtId="10" fontId="6" fillId="3" borderId="3" xfId="1" applyNumberFormat="1" applyFont="1" applyFill="1" applyBorder="1"/>
    <xf numFmtId="3" fontId="6" fillId="2" borderId="0" xfId="1" applyNumberFormat="1" applyFont="1" applyFill="1" applyBorder="1"/>
    <xf numFmtId="0" fontId="1" fillId="5" borderId="0" xfId="1" applyFill="1" applyBorder="1"/>
    <xf numFmtId="0" fontId="3" fillId="3" borderId="3" xfId="1" applyFont="1" applyFill="1" applyBorder="1"/>
    <xf numFmtId="0" fontId="6" fillId="5" borderId="0" xfId="1" applyFont="1" applyFill="1" applyBorder="1"/>
    <xf numFmtId="0" fontId="11" fillId="5" borderId="0" xfId="1" applyFont="1" applyFill="1"/>
    <xf numFmtId="0" fontId="1" fillId="5" borderId="0" xfId="1" applyFill="1"/>
    <xf numFmtId="10" fontId="7" fillId="5" borderId="0" xfId="1" applyNumberFormat="1" applyFont="1" applyFill="1" applyBorder="1"/>
    <xf numFmtId="3" fontId="7" fillId="4" borderId="0" xfId="1" applyNumberFormat="1" applyFont="1" applyFill="1" applyAlignment="1">
      <alignment horizontal="center"/>
    </xf>
    <xf numFmtId="3" fontId="1" fillId="2" borderId="0" xfId="1" applyNumberFormat="1" applyFill="1"/>
    <xf numFmtId="10" fontId="1" fillId="2" borderId="0" xfId="1" applyNumberFormat="1" applyFill="1" applyBorder="1"/>
    <xf numFmtId="3" fontId="7" fillId="5" borderId="0" xfId="1" applyNumberFormat="1" applyFont="1" applyFill="1" applyBorder="1"/>
    <xf numFmtId="0" fontId="1" fillId="3" borderId="3" xfId="1" applyFill="1" applyBorder="1"/>
    <xf numFmtId="0" fontId="6" fillId="5" borderId="0" xfId="1" applyFont="1" applyFill="1" applyBorder="1" applyAlignment="1">
      <alignment horizontal="center"/>
    </xf>
    <xf numFmtId="3" fontId="6" fillId="5" borderId="0" xfId="1" applyNumberFormat="1" applyFont="1" applyFill="1" applyBorder="1"/>
    <xf numFmtId="0" fontId="8" fillId="2" borderId="0" xfId="1" applyFont="1" applyFill="1"/>
    <xf numFmtId="3" fontId="7" fillId="4" borderId="0" xfId="1" applyNumberFormat="1" applyFont="1" applyFill="1" applyProtection="1">
      <protection locked="0"/>
    </xf>
    <xf numFmtId="3" fontId="7" fillId="4" borderId="0" xfId="1" applyNumberFormat="1" applyFont="1" applyFill="1" applyProtection="1"/>
    <xf numFmtId="3" fontId="7" fillId="0" borderId="0" xfId="1" applyNumberFormat="1" applyFont="1" applyFill="1" applyProtection="1">
      <protection locked="0"/>
    </xf>
    <xf numFmtId="3" fontId="7" fillId="0" borderId="0" xfId="1" applyNumberFormat="1" applyFont="1" applyFill="1" applyProtection="1"/>
    <xf numFmtId="3" fontId="7" fillId="5" borderId="0" xfId="1" applyNumberFormat="1" applyFont="1" applyFill="1" applyProtection="1">
      <protection locked="0"/>
    </xf>
    <xf numFmtId="3" fontId="7" fillId="5" borderId="0" xfId="1" applyNumberFormat="1" applyFont="1" applyFill="1" applyProtection="1"/>
    <xf numFmtId="3" fontId="6" fillId="0" borderId="1" xfId="1" applyNumberFormat="1" applyFont="1" applyBorder="1" applyProtection="1"/>
    <xf numFmtId="0" fontId="1" fillId="3" borderId="0" xfId="1" applyFill="1"/>
    <xf numFmtId="3" fontId="6" fillId="3" borderId="2" xfId="1" applyNumberFormat="1" applyFont="1" applyFill="1" applyBorder="1" applyAlignment="1">
      <alignment horizontal="right"/>
    </xf>
    <xf numFmtId="3" fontId="6" fillId="3" borderId="2" xfId="1" applyNumberFormat="1" applyFont="1" applyFill="1" applyBorder="1" applyAlignment="1" applyProtection="1">
      <alignment horizontal="right"/>
      <protection locked="0"/>
    </xf>
    <xf numFmtId="0" fontId="1" fillId="3" borderId="2" xfId="1" applyFill="1" applyBorder="1"/>
    <xf numFmtId="0" fontId="6" fillId="3" borderId="1" xfId="1" applyNumberFormat="1" applyFont="1" applyFill="1" applyBorder="1" applyAlignment="1">
      <alignment horizontal="right"/>
    </xf>
    <xf numFmtId="0" fontId="6" fillId="3" borderId="1" xfId="1" applyFont="1" applyFill="1" applyBorder="1"/>
    <xf numFmtId="164" fontId="6" fillId="0" borderId="0" xfId="1" applyNumberFormat="1" applyFont="1" applyBorder="1" applyAlignment="1" applyProtection="1">
      <alignment horizontal="left"/>
      <protection locked="0"/>
    </xf>
    <xf numFmtId="3" fontId="6" fillId="0" borderId="0" xfId="1" applyNumberFormat="1" applyFont="1" applyBorder="1" applyAlignment="1" applyProtection="1">
      <alignment horizontal="right"/>
      <protection locked="0"/>
    </xf>
    <xf numFmtId="0" fontId="1" fillId="0" borderId="0" xfId="1" applyFill="1"/>
    <xf numFmtId="0" fontId="9" fillId="0" borderId="0" xfId="1" applyFont="1" applyFill="1"/>
    <xf numFmtId="3" fontId="12" fillId="0" borderId="0" xfId="1" applyNumberFormat="1" applyFont="1" applyFill="1" applyBorder="1" applyAlignment="1" applyProtection="1">
      <alignment horizontal="right"/>
      <protection locked="0"/>
    </xf>
    <xf numFmtId="3" fontId="12" fillId="0" borderId="0" xfId="1" applyNumberFormat="1" applyFon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/>
    <xf numFmtId="1" fontId="7" fillId="0" borderId="0" xfId="1" applyNumberFormat="1" applyFont="1" applyAlignment="1" applyProtection="1">
      <alignment horizontal="left"/>
      <protection locked="0"/>
    </xf>
    <xf numFmtId="3" fontId="15" fillId="0" borderId="0" xfId="1" applyNumberFormat="1" applyFont="1" applyFill="1"/>
    <xf numFmtId="165" fontId="7" fillId="0" borderId="0" xfId="1" applyNumberFormat="1" applyFont="1" applyFill="1"/>
    <xf numFmtId="0" fontId="3" fillId="0" borderId="0" xfId="1" applyFont="1" applyFill="1"/>
    <xf numFmtId="1" fontId="7" fillId="4" borderId="0" xfId="1" applyNumberFormat="1" applyFont="1" applyFill="1" applyAlignment="1" applyProtection="1">
      <alignment horizontal="left"/>
      <protection locked="0"/>
    </xf>
    <xf numFmtId="3" fontId="15" fillId="4" borderId="0" xfId="1" applyNumberFormat="1" applyFont="1" applyFill="1"/>
    <xf numFmtId="165" fontId="7" fillId="4" borderId="0" xfId="1" applyNumberFormat="1" applyFont="1" applyFill="1"/>
    <xf numFmtId="3" fontId="7" fillId="0" borderId="0" xfId="1" quotePrefix="1" applyNumberFormat="1" applyFont="1" applyFill="1" applyAlignment="1" applyProtection="1">
      <alignment horizontal="right"/>
      <protection locked="0"/>
    </xf>
    <xf numFmtId="1" fontId="6" fillId="6" borderId="0" xfId="1" applyNumberFormat="1" applyFont="1" applyFill="1" applyAlignment="1" applyProtection="1">
      <alignment horizontal="left"/>
      <protection locked="0"/>
    </xf>
    <xf numFmtId="3" fontId="6" fillId="6" borderId="0" xfId="1" applyNumberFormat="1" applyFont="1" applyFill="1" applyProtection="1">
      <protection locked="0"/>
    </xf>
    <xf numFmtId="3" fontId="6" fillId="6" borderId="0" xfId="1" applyNumberFormat="1" applyFont="1" applyFill="1"/>
    <xf numFmtId="165" fontId="6" fillId="6" borderId="0" xfId="1" applyNumberFormat="1" applyFont="1" applyFill="1"/>
    <xf numFmtId="3" fontId="15" fillId="0" borderId="0" xfId="1" applyNumberFormat="1" applyFont="1" applyFill="1" applyProtection="1">
      <protection locked="0"/>
    </xf>
    <xf numFmtId="3" fontId="16" fillId="6" borderId="0" xfId="1" applyNumberFormat="1" applyFont="1" applyFill="1"/>
    <xf numFmtId="1" fontId="7" fillId="7" borderId="1" xfId="1" applyNumberFormat="1" applyFont="1" applyFill="1" applyBorder="1" applyAlignment="1" applyProtection="1">
      <alignment horizontal="left"/>
      <protection locked="0"/>
    </xf>
    <xf numFmtId="165" fontId="7" fillId="7" borderId="1" xfId="1" applyNumberFormat="1" applyFont="1" applyFill="1" applyBorder="1" applyProtection="1">
      <protection locked="0"/>
    </xf>
    <xf numFmtId="165" fontId="15" fillId="7" borderId="1" xfId="1" applyNumberFormat="1" applyFont="1" applyFill="1" applyBorder="1" applyProtection="1">
      <protection locked="0"/>
    </xf>
    <xf numFmtId="165" fontId="7" fillId="4" borderId="1" xfId="1" applyNumberFormat="1" applyFont="1" applyFill="1" applyBorder="1" applyProtection="1">
      <protection locked="0"/>
    </xf>
    <xf numFmtId="165" fontId="7" fillId="0" borderId="1" xfId="1" applyNumberFormat="1" applyFont="1" applyFill="1" applyBorder="1"/>
    <xf numFmtId="3" fontId="7" fillId="4" borderId="0" xfId="1" quotePrefix="1" applyNumberFormat="1" applyFont="1" applyFill="1" applyAlignment="1" applyProtection="1">
      <alignment horizontal="right"/>
      <protection locked="0"/>
    </xf>
    <xf numFmtId="3" fontId="16" fillId="6" borderId="0" xfId="1" applyNumberFormat="1" applyFont="1" applyFill="1" applyProtection="1">
      <protection locked="0"/>
    </xf>
    <xf numFmtId="3" fontId="6" fillId="0" borderId="0" xfId="1" applyNumberFormat="1" applyFont="1" applyFill="1"/>
    <xf numFmtId="0" fontId="7" fillId="2" borderId="3" xfId="1" applyFont="1" applyFill="1" applyBorder="1"/>
    <xf numFmtId="0" fontId="6" fillId="2" borderId="0" xfId="1" applyFont="1" applyFill="1"/>
    <xf numFmtId="0" fontId="7" fillId="2" borderId="1" xfId="1" applyFont="1" applyFill="1" applyBorder="1"/>
    <xf numFmtId="0" fontId="6" fillId="6" borderId="4" xfId="1" applyFont="1" applyFill="1" applyBorder="1" applyAlignment="1">
      <alignment horizontal="center"/>
    </xf>
    <xf numFmtId="0" fontId="6" fillId="6" borderId="3" xfId="1" applyFont="1" applyFill="1" applyBorder="1" applyAlignment="1">
      <alignment horizontal="center"/>
    </xf>
    <xf numFmtId="3" fontId="3" fillId="5" borderId="0" xfId="1" applyNumberFormat="1" applyFont="1" applyFill="1" applyAlignment="1">
      <alignment horizontal="left" vertical="center"/>
    </xf>
    <xf numFmtId="0" fontId="3" fillId="5" borderId="0" xfId="1" applyFont="1" applyFill="1" applyAlignment="1">
      <alignment horizontal="left" vertical="center" wrapText="1"/>
    </xf>
    <xf numFmtId="3" fontId="3" fillId="5" borderId="0" xfId="1" applyNumberFormat="1" applyFont="1" applyFill="1" applyAlignment="1">
      <alignment horizontal="left" vertical="center" wrapText="1"/>
    </xf>
    <xf numFmtId="0" fontId="18" fillId="2" borderId="0" xfId="1" applyFont="1" applyFill="1"/>
    <xf numFmtId="0" fontId="7" fillId="0" borderId="0" xfId="1" applyFont="1" applyFill="1"/>
    <xf numFmtId="0" fontId="11" fillId="3" borderId="0" xfId="1" applyFont="1" applyFill="1"/>
    <xf numFmtId="0" fontId="6" fillId="2" borderId="0" xfId="1" applyFont="1" applyFill="1" applyAlignment="1">
      <alignment horizontal="left" vertical="top"/>
    </xf>
    <xf numFmtId="0" fontId="11" fillId="2" borderId="0" xfId="1" applyFont="1" applyFill="1" applyAlignment="1">
      <alignment vertical="center" wrapText="1"/>
    </xf>
    <xf numFmtId="0" fontId="3" fillId="5" borderId="0" xfId="1" applyFont="1" applyFill="1" applyAlignment="1">
      <alignment horizontal="left" vertical="center"/>
    </xf>
    <xf numFmtId="0" fontId="7" fillId="3" borderId="0" xfId="1" applyFont="1" applyFill="1"/>
    <xf numFmtId="0" fontId="15" fillId="2" borderId="1" xfId="1" applyFont="1" applyFill="1" applyBorder="1"/>
    <xf numFmtId="0" fontId="18" fillId="2" borderId="1" xfId="1" applyFont="1" applyFill="1" applyBorder="1"/>
    <xf numFmtId="0" fontId="7" fillId="2" borderId="0" xfId="1" applyFont="1" applyFill="1" applyAlignment="1">
      <alignment horizontal="right"/>
    </xf>
    <xf numFmtId="0" fontId="6" fillId="2" borderId="3" xfId="1" applyFont="1" applyFill="1" applyBorder="1" applyAlignment="1">
      <alignment horizontal="center"/>
    </xf>
    <xf numFmtId="0" fontId="1" fillId="2" borderId="3" xfId="1" applyFill="1" applyBorder="1"/>
    <xf numFmtId="0" fontId="9" fillId="2" borderId="0" xfId="1" applyFont="1" applyFill="1" applyBorder="1" applyAlignment="1">
      <alignment horizontal="center"/>
    </xf>
    <xf numFmtId="0" fontId="1" fillId="2" borderId="0" xfId="1" applyFill="1" applyAlignment="1">
      <alignment horizontal="left" wrapText="1"/>
    </xf>
    <xf numFmtId="3" fontId="7" fillId="2" borderId="0" xfId="1" applyNumberFormat="1" applyFont="1" applyFill="1" applyAlignment="1">
      <alignment horizontal="left"/>
    </xf>
    <xf numFmtId="3" fontId="7" fillId="2" borderId="0" xfId="1" applyNumberFormat="1" applyFont="1" applyFill="1" applyAlignment="1">
      <alignment horizontal="right"/>
    </xf>
    <xf numFmtId="3" fontId="1" fillId="2" borderId="0" xfId="1" applyNumberFormat="1" applyFill="1" applyAlignment="1">
      <alignment horizontal="left"/>
    </xf>
    <xf numFmtId="3" fontId="7" fillId="3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left" wrapText="1"/>
    </xf>
    <xf numFmtId="0" fontId="19" fillId="2" borderId="0" xfId="1" applyFont="1" applyFill="1" applyAlignment="1">
      <alignment horizontal="left" wrapText="1"/>
    </xf>
    <xf numFmtId="3" fontId="1" fillId="2" borderId="0" xfId="1" applyNumberFormat="1" applyFill="1" applyAlignment="1">
      <alignment horizontal="left" wrapText="1"/>
    </xf>
    <xf numFmtId="0" fontId="3" fillId="3" borderId="0" xfId="1" applyFont="1" applyFill="1"/>
    <xf numFmtId="0" fontId="3" fillId="2" borderId="0" xfId="1" applyFont="1" applyFill="1"/>
    <xf numFmtId="0" fontId="11" fillId="3" borderId="0" xfId="1" applyFont="1" applyFill="1" applyBorder="1"/>
    <xf numFmtId="3" fontId="7" fillId="3" borderId="0" xfId="1" applyNumberFormat="1" applyFont="1" applyFill="1" applyBorder="1" applyAlignment="1">
      <alignment horizontal="right"/>
    </xf>
    <xf numFmtId="0" fontId="11" fillId="2" borderId="0" xfId="1" applyFont="1" applyFill="1" applyBorder="1"/>
    <xf numFmtId="3" fontId="7" fillId="2" borderId="0" xfId="1" applyNumberFormat="1" applyFont="1" applyFill="1" applyBorder="1" applyAlignment="1">
      <alignment horizontal="right"/>
    </xf>
    <xf numFmtId="3" fontId="3" fillId="5" borderId="0" xfId="1" applyNumberFormat="1" applyFont="1" applyFill="1" applyBorder="1" applyAlignment="1">
      <alignment horizontal="right"/>
    </xf>
    <xf numFmtId="3" fontId="7" fillId="5" borderId="0" xfId="1" applyNumberFormat="1" applyFont="1" applyFill="1" applyBorder="1" applyAlignment="1">
      <alignment horizontal="right"/>
    </xf>
    <xf numFmtId="0" fontId="20" fillId="2" borderId="0" xfId="1" applyFont="1" applyFill="1"/>
    <xf numFmtId="3" fontId="21" fillId="2" borderId="0" xfId="1" applyNumberFormat="1" applyFont="1" applyFill="1" applyAlignment="1">
      <alignment horizontal="right"/>
    </xf>
    <xf numFmtId="0" fontId="6" fillId="5" borderId="0" xfId="1" applyFont="1" applyFill="1" applyBorder="1" applyAlignment="1">
      <alignment horizontal="left" wrapText="1"/>
    </xf>
    <xf numFmtId="3" fontId="6" fillId="5" borderId="0" xfId="1" applyNumberFormat="1" applyFont="1" applyFill="1" applyBorder="1" applyAlignment="1">
      <alignment horizontal="right"/>
    </xf>
    <xf numFmtId="0" fontId="6" fillId="3" borderId="3" xfId="1" applyFont="1" applyFill="1" applyBorder="1" applyAlignment="1">
      <alignment horizontal="left" wrapText="1"/>
    </xf>
    <xf numFmtId="3" fontId="6" fillId="3" borderId="3" xfId="1" applyNumberFormat="1" applyFont="1" applyFill="1" applyBorder="1" applyAlignment="1">
      <alignment horizontal="right"/>
    </xf>
    <xf numFmtId="3" fontId="19" fillId="2" borderId="0" xfId="1" applyNumberFormat="1" applyFont="1" applyFill="1" applyAlignment="1">
      <alignment horizontal="left" wrapText="1"/>
    </xf>
    <xf numFmtId="0" fontId="19" fillId="5" borderId="0" xfId="1" applyFont="1" applyFill="1" applyBorder="1"/>
    <xf numFmtId="3" fontId="19" fillId="5" borderId="0" xfId="1" applyNumberFormat="1" applyFont="1" applyFill="1" applyBorder="1" applyAlignment="1">
      <alignment horizontal="right"/>
    </xf>
    <xf numFmtId="0" fontId="22" fillId="5" borderId="0" xfId="1" applyFont="1" applyFill="1" applyBorder="1" applyAlignment="1">
      <alignment horizontal="left" wrapText="1"/>
    </xf>
    <xf numFmtId="3" fontId="22" fillId="5" borderId="0" xfId="1" applyNumberFormat="1" applyFont="1" applyFill="1" applyBorder="1" applyAlignment="1">
      <alignment horizontal="right"/>
    </xf>
    <xf numFmtId="3" fontId="3" fillId="2" borderId="0" xfId="1" applyNumberFormat="1" applyFont="1" applyFill="1" applyAlignment="1">
      <alignment horizontal="left" wrapText="1"/>
    </xf>
    <xf numFmtId="3" fontId="3" fillId="5" borderId="0" xfId="1" applyNumberFormat="1" applyFont="1" applyFill="1" applyBorder="1" applyAlignment="1">
      <alignment horizontal="left" wrapText="1"/>
    </xf>
    <xf numFmtId="0" fontId="8" fillId="2" borderId="0" xfId="1" applyFont="1" applyFill="1" applyBorder="1"/>
    <xf numFmtId="0" fontId="7" fillId="2" borderId="0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left" wrapText="1"/>
    </xf>
    <xf numFmtId="3" fontId="3" fillId="2" borderId="0" xfId="1" applyNumberFormat="1" applyFont="1" applyFill="1" applyBorder="1" applyAlignment="1">
      <alignment horizontal="left" wrapText="1"/>
    </xf>
    <xf numFmtId="0" fontId="7" fillId="2" borderId="0" xfId="1" applyFont="1" applyFill="1" applyAlignment="1">
      <alignment horizontal="left" wrapText="1"/>
    </xf>
    <xf numFmtId="0" fontId="23" fillId="2" borderId="0" xfId="1" applyFont="1" applyFill="1" applyAlignment="1">
      <alignment horizontal="right"/>
    </xf>
    <xf numFmtId="0" fontId="23" fillId="2" borderId="0" xfId="1" applyFont="1" applyFill="1"/>
    <xf numFmtId="0" fontId="23" fillId="2" borderId="3" xfId="1" applyFont="1" applyFill="1" applyBorder="1"/>
    <xf numFmtId="0" fontId="23" fillId="2" borderId="0" xfId="1" applyFont="1" applyFill="1" applyBorder="1"/>
    <xf numFmtId="0" fontId="23" fillId="2" borderId="0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left"/>
    </xf>
    <xf numFmtId="0" fontId="9" fillId="3" borderId="3" xfId="1" applyFont="1" applyFill="1" applyBorder="1" applyAlignment="1">
      <alignment horizontal="right"/>
    </xf>
    <xf numFmtId="0" fontId="9" fillId="2" borderId="3" xfId="1" applyFont="1" applyFill="1" applyBorder="1"/>
    <xf numFmtId="0" fontId="23" fillId="2" borderId="0" xfId="1" applyFont="1" applyFill="1" applyAlignment="1">
      <alignment horizontal="left"/>
    </xf>
    <xf numFmtId="0" fontId="18" fillId="2" borderId="0" xfId="1" applyFont="1" applyFill="1" applyAlignment="1">
      <alignment horizontal="left" wrapText="1"/>
    </xf>
    <xf numFmtId="3" fontId="11" fillId="3" borderId="0" xfId="1" applyNumberFormat="1" applyFont="1" applyFill="1" applyAlignment="1">
      <alignment horizontal="right"/>
    </xf>
    <xf numFmtId="3" fontId="23" fillId="2" borderId="0" xfId="1" applyNumberFormat="1" applyFont="1" applyFill="1" applyAlignment="1">
      <alignment horizontal="left" wrapText="1"/>
    </xf>
    <xf numFmtId="0" fontId="23" fillId="2" borderId="0" xfId="1" applyFont="1" applyFill="1" applyAlignment="1">
      <alignment horizontal="left" wrapText="1"/>
    </xf>
    <xf numFmtId="3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left" wrapText="1"/>
    </xf>
    <xf numFmtId="3" fontId="7" fillId="2" borderId="0" xfId="1" applyNumberFormat="1" applyFont="1" applyFill="1" applyAlignment="1">
      <alignment horizontal="left" wrapText="1"/>
    </xf>
    <xf numFmtId="0" fontId="11" fillId="5" borderId="0" xfId="1" applyFont="1" applyFill="1" applyAlignment="1">
      <alignment horizontal="left" wrapText="1"/>
    </xf>
    <xf numFmtId="3" fontId="18" fillId="2" borderId="0" xfId="1" applyNumberFormat="1" applyFont="1" applyFill="1" applyAlignment="1">
      <alignment horizontal="left" wrapText="1"/>
    </xf>
    <xf numFmtId="0" fontId="11" fillId="3" borderId="0" xfId="1" applyFont="1" applyFill="1" applyAlignment="1">
      <alignment horizontal="left" wrapText="1"/>
    </xf>
    <xf numFmtId="0" fontId="7" fillId="7" borderId="0" xfId="1" applyFont="1" applyFill="1"/>
    <xf numFmtId="0" fontId="6" fillId="7" borderId="1" xfId="1" applyFont="1" applyFill="1" applyBorder="1"/>
    <xf numFmtId="0" fontId="6" fillId="7" borderId="1" xfId="1" applyFont="1" applyFill="1" applyBorder="1" applyAlignment="1">
      <alignment horizontal="center"/>
    </xf>
    <xf numFmtId="165" fontId="7" fillId="2" borderId="0" xfId="1" applyNumberFormat="1" applyFont="1" applyFill="1"/>
    <xf numFmtId="3" fontId="7" fillId="3" borderId="0" xfId="1" applyNumberFormat="1" applyFont="1" applyFill="1"/>
    <xf numFmtId="165" fontId="7" fillId="3" borderId="0" xfId="1" applyNumberFormat="1" applyFont="1" applyFill="1"/>
    <xf numFmtId="3" fontId="7" fillId="2" borderId="0" xfId="1" quotePrefix="1" applyNumberFormat="1" applyFont="1" applyFill="1" applyAlignment="1">
      <alignment horizontal="right"/>
    </xf>
    <xf numFmtId="3" fontId="7" fillId="3" borderId="0" xfId="1" quotePrefix="1" applyNumberFormat="1" applyFont="1" applyFill="1" applyAlignment="1">
      <alignment horizontal="right"/>
    </xf>
    <xf numFmtId="0" fontId="1" fillId="2" borderId="1" xfId="1" applyFill="1" applyBorder="1"/>
    <xf numFmtId="3" fontId="1" fillId="2" borderId="1" xfId="1" applyNumberFormat="1" applyFill="1" applyBorder="1"/>
    <xf numFmtId="3" fontId="7" fillId="2" borderId="1" xfId="1" applyNumberFormat="1" applyFont="1" applyFill="1" applyBorder="1"/>
    <xf numFmtId="0" fontId="6" fillId="7" borderId="3" xfId="1" applyFont="1" applyFill="1" applyBorder="1"/>
    <xf numFmtId="3" fontId="6" fillId="7" borderId="3" xfId="1" applyNumberFormat="1" applyFont="1" applyFill="1" applyBorder="1"/>
    <xf numFmtId="165" fontId="6" fillId="7" borderId="3" xfId="1" applyNumberFormat="1" applyFont="1" applyFill="1" applyBorder="1"/>
    <xf numFmtId="165" fontId="8" fillId="2" borderId="0" xfId="1" applyNumberFormat="1" applyFont="1" applyFill="1"/>
    <xf numFmtId="0" fontId="24" fillId="2" borderId="0" xfId="1" applyFont="1" applyFill="1"/>
    <xf numFmtId="165" fontId="11" fillId="2" borderId="0" xfId="1" applyNumberFormat="1" applyFont="1" applyFill="1"/>
    <xf numFmtId="165" fontId="1" fillId="2" borderId="0" xfId="1" applyNumberFormat="1" applyFill="1"/>
    <xf numFmtId="0" fontId="1" fillId="7" borderId="0" xfId="1" applyFill="1"/>
    <xf numFmtId="0" fontId="9" fillId="7" borderId="1" xfId="1" applyFont="1" applyFill="1" applyBorder="1"/>
    <xf numFmtId="0" fontId="9" fillId="7" borderId="1" xfId="1" applyFont="1" applyFill="1" applyBorder="1" applyAlignment="1">
      <alignment horizontal="center"/>
    </xf>
    <xf numFmtId="165" fontId="7" fillId="5" borderId="0" xfId="1" applyNumberFormat="1" applyFont="1" applyFill="1"/>
    <xf numFmtId="3" fontId="7" fillId="5" borderId="0" xfId="1" quotePrefix="1" applyNumberFormat="1" applyFont="1" applyFill="1" applyAlignment="1">
      <alignment horizontal="right"/>
    </xf>
    <xf numFmtId="165" fontId="6" fillId="7" borderId="3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 applyProtection="1">
      <alignment horizontal="left" wrapText="1"/>
      <protection locked="0"/>
    </xf>
    <xf numFmtId="0" fontId="11" fillId="0" borderId="0" xfId="1" applyFont="1" applyAlignment="1">
      <alignment wrapText="1"/>
    </xf>
    <xf numFmtId="3" fontId="6" fillId="3" borderId="2" xfId="1" applyNumberFormat="1" applyFont="1" applyFill="1" applyBorder="1" applyAlignment="1" applyProtection="1">
      <alignment horizontal="center"/>
      <protection locked="0"/>
    </xf>
    <xf numFmtId="3" fontId="6" fillId="3" borderId="1" xfId="1" applyNumberFormat="1" applyFont="1" applyFill="1" applyBorder="1" applyAlignment="1" applyProtection="1">
      <alignment horizontal="center"/>
      <protection locked="0"/>
    </xf>
    <xf numFmtId="3" fontId="6" fillId="3" borderId="3" xfId="1" applyNumberFormat="1" applyFont="1" applyFill="1" applyBorder="1" applyAlignment="1" applyProtection="1">
      <alignment horizontal="center"/>
      <protection locked="0"/>
    </xf>
    <xf numFmtId="0" fontId="17" fillId="5" borderId="0" xfId="1" applyFont="1" applyFill="1" applyAlignment="1">
      <alignment horizontal="left" vertical="center" wrapText="1"/>
    </xf>
    <xf numFmtId="0" fontId="6" fillId="8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9" fillId="8" borderId="3" xfId="1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6" fillId="7" borderId="0" xfId="1" applyFont="1" applyFill="1" applyBorder="1" applyAlignment="1">
      <alignment horizontal="center" vertical="justify"/>
    </xf>
    <xf numFmtId="0" fontId="6" fillId="7" borderId="1" xfId="1" applyFont="1" applyFill="1" applyBorder="1" applyAlignment="1">
      <alignment horizontal="center" vertical="justify"/>
    </xf>
  </cellXfs>
  <cellStyles count="6">
    <cellStyle name="Enllaç" xfId="2" builtinId="8"/>
    <cellStyle name="Milers [0] 2" xfId="3"/>
    <cellStyle name="Normal" xfId="0" builtinId="0"/>
    <cellStyle name="Normal 2" xfId="1"/>
    <cellStyle name="Normal_EPA" xfId="5"/>
    <cellStyle name="Percentat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AREA_DE_TREBALL/ESTAD&#205;STIQUES/01.%20Anuari%20DTES/2019_Anuari%20DTES/C06_Transports%20i%20Mobilitat/Documents%20de%20treball/612_Aeroports%20i%20instal&#183;lacions%20aeroportu&#224;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ex 6.12"/>
      <sheetName val="6.12.1"/>
      <sheetName val="6.12.2"/>
      <sheetName val="6.12.3"/>
      <sheetName val="6.12.4"/>
      <sheetName val="6.12.5"/>
      <sheetName val="6.12.6"/>
      <sheetName val="6.12.7"/>
      <sheetName val="6.12.8"/>
      <sheetName val="6.12.9"/>
      <sheetName val="6.12.10"/>
      <sheetName val="6.12.11"/>
      <sheetName val="6.12.12"/>
      <sheetName val="6.12.13"/>
      <sheetName val="6.12.14"/>
      <sheetName val="6.12.15"/>
      <sheetName val="6.12.16"/>
    </sheetNames>
    <sheetDataSet>
      <sheetData sheetId="0"/>
      <sheetData sheetId="1"/>
      <sheetData sheetId="2"/>
      <sheetData sheetId="3"/>
      <sheetData sheetId="4"/>
      <sheetData sheetId="5">
        <row r="9">
          <cell r="B9">
            <v>70770</v>
          </cell>
          <cell r="C9">
            <v>6246</v>
          </cell>
          <cell r="F9">
            <v>6297623</v>
          </cell>
          <cell r="G9">
            <v>362936</v>
          </cell>
          <cell r="J9">
            <v>43697</v>
          </cell>
          <cell r="K9">
            <v>1357</v>
          </cell>
        </row>
        <row r="10">
          <cell r="B10">
            <v>82396</v>
          </cell>
          <cell r="C10">
            <v>13867</v>
          </cell>
          <cell r="F10">
            <v>6816340</v>
          </cell>
          <cell r="G10">
            <v>417682</v>
          </cell>
          <cell r="J10">
            <v>51137</v>
          </cell>
          <cell r="K10">
            <v>4505</v>
          </cell>
        </row>
        <row r="11">
          <cell r="B11">
            <v>92797</v>
          </cell>
          <cell r="C11">
            <v>13332</v>
          </cell>
          <cell r="F11">
            <v>7566000</v>
          </cell>
          <cell r="G11">
            <v>580000</v>
          </cell>
          <cell r="J11">
            <v>59039</v>
          </cell>
          <cell r="K11">
            <v>2283</v>
          </cell>
        </row>
        <row r="12">
          <cell r="B12">
            <v>104520</v>
          </cell>
          <cell r="C12">
            <v>13211</v>
          </cell>
          <cell r="F12">
            <v>8358433</v>
          </cell>
          <cell r="G12">
            <v>682815</v>
          </cell>
          <cell r="J12">
            <v>63039</v>
          </cell>
          <cell r="K12">
            <v>2974</v>
          </cell>
        </row>
        <row r="13">
          <cell r="B13">
            <v>111903</v>
          </cell>
          <cell r="C13">
            <v>11146</v>
          </cell>
          <cell r="F13">
            <v>8204438</v>
          </cell>
          <cell r="G13">
            <v>756796</v>
          </cell>
          <cell r="J13">
            <v>61947</v>
          </cell>
          <cell r="K13">
            <v>715</v>
          </cell>
        </row>
        <row r="14">
          <cell r="B14">
            <v>125058</v>
          </cell>
          <cell r="C14">
            <v>11023</v>
          </cell>
          <cell r="F14">
            <v>9287415</v>
          </cell>
          <cell r="G14">
            <v>748795</v>
          </cell>
          <cell r="J14">
            <v>70531</v>
          </cell>
          <cell r="K14">
            <v>1890</v>
          </cell>
        </row>
        <row r="15">
          <cell r="B15">
            <v>122466</v>
          </cell>
          <cell r="C15">
            <v>11076</v>
          </cell>
          <cell r="F15">
            <v>8969614</v>
          </cell>
          <cell r="G15">
            <v>684526</v>
          </cell>
          <cell r="J15">
            <v>55639</v>
          </cell>
          <cell r="K15">
            <v>1838</v>
          </cell>
        </row>
        <row r="16">
          <cell r="B16">
            <v>126019</v>
          </cell>
          <cell r="C16">
            <v>16039</v>
          </cell>
          <cell r="F16">
            <v>9641981</v>
          </cell>
          <cell r="G16">
            <v>654714</v>
          </cell>
          <cell r="J16">
            <v>47809.864000000001</v>
          </cell>
          <cell r="K16">
            <v>11074</v>
          </cell>
        </row>
        <row r="17">
          <cell r="B17">
            <v>135820</v>
          </cell>
          <cell r="C17">
            <v>16200</v>
          </cell>
          <cell r="F17">
            <v>10774947</v>
          </cell>
          <cell r="G17">
            <v>538441</v>
          </cell>
          <cell r="J17">
            <v>54946.885000000002</v>
          </cell>
          <cell r="K17">
            <v>13571.712</v>
          </cell>
        </row>
        <row r="18">
          <cell r="B18">
            <v>158035</v>
          </cell>
          <cell r="C18">
            <v>18723</v>
          </cell>
          <cell r="F18">
            <v>12233937</v>
          </cell>
          <cell r="G18">
            <v>684760</v>
          </cell>
          <cell r="J18">
            <v>59965</v>
          </cell>
          <cell r="K18">
            <v>16683</v>
          </cell>
        </row>
        <row r="19">
          <cell r="B19">
            <v>184686</v>
          </cell>
          <cell r="C19">
            <v>22243</v>
          </cell>
          <cell r="F19">
            <v>13809464</v>
          </cell>
          <cell r="G19">
            <v>753034</v>
          </cell>
          <cell r="J19">
            <v>64933</v>
          </cell>
          <cell r="K19">
            <v>12998</v>
          </cell>
        </row>
        <row r="20">
          <cell r="B20">
            <v>193497</v>
          </cell>
          <cell r="C20">
            <v>18861</v>
          </cell>
          <cell r="F20">
            <v>15015693</v>
          </cell>
          <cell r="G20">
            <v>730598</v>
          </cell>
          <cell r="J20">
            <v>65425</v>
          </cell>
          <cell r="K20">
            <v>11588</v>
          </cell>
        </row>
        <row r="21">
          <cell r="B21">
            <v>209770</v>
          </cell>
          <cell r="C21">
            <v>18868</v>
          </cell>
          <cell r="F21">
            <v>16328651</v>
          </cell>
          <cell r="G21">
            <v>800017</v>
          </cell>
          <cell r="J21">
            <v>76251.5</v>
          </cell>
          <cell r="K21">
            <v>9921.7999999999993</v>
          </cell>
        </row>
        <row r="22">
          <cell r="B22">
            <v>231348</v>
          </cell>
          <cell r="C22">
            <v>20848</v>
          </cell>
          <cell r="F22">
            <v>18321779</v>
          </cell>
          <cell r="G22">
            <v>1053559</v>
          </cell>
          <cell r="J22">
            <v>73661.134999999995</v>
          </cell>
          <cell r="K22">
            <v>13647.331</v>
          </cell>
        </row>
        <row r="23">
          <cell r="B23">
            <v>247335</v>
          </cell>
          <cell r="C23">
            <v>20801</v>
          </cell>
          <cell r="F23">
            <v>19641193</v>
          </cell>
          <cell r="G23">
            <v>904487</v>
          </cell>
          <cell r="J23">
            <v>58053.108999999997</v>
          </cell>
          <cell r="K23">
            <v>18912.525999999998</v>
          </cell>
        </row>
        <row r="24">
          <cell r="B24">
            <v>243750</v>
          </cell>
          <cell r="C24">
            <v>21713</v>
          </cell>
          <cell r="F24">
            <v>20128558</v>
          </cell>
          <cell r="G24">
            <v>1040439</v>
          </cell>
          <cell r="J24">
            <v>56576.552000000003</v>
          </cell>
          <cell r="K24">
            <v>18640.833999999999</v>
          </cell>
        </row>
        <row r="25">
          <cell r="B25">
            <v>253827</v>
          </cell>
          <cell r="C25">
            <v>22387</v>
          </cell>
          <cell r="F25">
            <v>21497066</v>
          </cell>
          <cell r="G25">
            <v>1044558</v>
          </cell>
          <cell r="J25">
            <v>51171.152999999998</v>
          </cell>
          <cell r="K25">
            <v>18944.502</v>
          </cell>
        </row>
        <row r="26">
          <cell r="B26">
            <v>264323</v>
          </cell>
          <cell r="C26">
            <v>19920</v>
          </cell>
          <cell r="F26">
            <v>23273010</v>
          </cell>
          <cell r="G26">
            <v>1090284</v>
          </cell>
          <cell r="J26">
            <v>61459.039999999994</v>
          </cell>
          <cell r="K26">
            <v>20449.375999999997</v>
          </cell>
        </row>
        <row r="27">
          <cell r="B27">
            <v>280807</v>
          </cell>
          <cell r="C27">
            <v>19447</v>
          </cell>
          <cell r="F27">
            <v>25883305</v>
          </cell>
          <cell r="G27">
            <v>1057910</v>
          </cell>
          <cell r="J27">
            <v>70361.797000000006</v>
          </cell>
          <cell r="K27">
            <v>19877.618000000002</v>
          </cell>
        </row>
        <row r="28">
          <cell r="B28">
            <v>297727</v>
          </cell>
          <cell r="C28">
            <v>21781</v>
          </cell>
          <cell r="F28">
            <v>28671008</v>
          </cell>
          <cell r="G28">
            <v>1164705</v>
          </cell>
          <cell r="J28">
            <v>71855.777000000002</v>
          </cell>
          <cell r="K28">
            <v>21400.18</v>
          </cell>
        </row>
        <row r="29">
          <cell r="B29">
            <v>323483</v>
          </cell>
          <cell r="C29">
            <v>20029</v>
          </cell>
          <cell r="F29">
            <v>31776207</v>
          </cell>
          <cell r="G29">
            <v>1027656</v>
          </cell>
          <cell r="J29">
            <v>77120.672000000006</v>
          </cell>
          <cell r="K29">
            <v>19523.984</v>
          </cell>
        </row>
        <row r="35">
          <cell r="B35">
            <v>255806</v>
          </cell>
          <cell r="C35">
            <v>20690</v>
          </cell>
          <cell r="F35">
            <v>34054299</v>
          </cell>
          <cell r="G35">
            <v>1156436</v>
          </cell>
          <cell r="J35">
            <v>86494.91</v>
          </cell>
          <cell r="K35">
            <v>13931.870999999999</v>
          </cell>
        </row>
        <row r="36">
          <cell r="B36">
            <v>263502</v>
          </cell>
          <cell r="C36">
            <v>20348</v>
          </cell>
          <cell r="F36">
            <v>36515680</v>
          </cell>
          <cell r="G36">
            <v>1043364</v>
          </cell>
          <cell r="J36">
            <v>87220.148000000001</v>
          </cell>
          <cell r="K36">
            <v>15496.606</v>
          </cell>
        </row>
        <row r="37">
          <cell r="B37">
            <v>271078</v>
          </cell>
          <cell r="C37">
            <v>17801</v>
          </cell>
          <cell r="F37">
            <v>39092714</v>
          </cell>
          <cell r="G37">
            <v>618523</v>
          </cell>
          <cell r="J37">
            <v>99385.725000000006</v>
          </cell>
          <cell r="K37">
            <v>17833.656999999992</v>
          </cell>
        </row>
        <row r="38">
          <cell r="B38">
            <v>288975</v>
          </cell>
          <cell r="C38">
            <v>18889</v>
          </cell>
          <cell r="F38">
            <v>43562525</v>
          </cell>
          <cell r="G38">
            <v>592168</v>
          </cell>
          <cell r="J38">
            <v>115226.11500000001</v>
          </cell>
          <cell r="K38">
            <v>17531.105999999985</v>
          </cell>
        </row>
        <row r="39">
          <cell r="B39">
            <v>304427</v>
          </cell>
          <cell r="D39">
            <v>323539</v>
          </cell>
          <cell r="F39">
            <v>46678078</v>
          </cell>
          <cell r="H39">
            <v>47284500</v>
          </cell>
          <cell r="J39">
            <v>137587.35699999999</v>
          </cell>
          <cell r="L39">
            <v>156105.304</v>
          </cell>
        </row>
        <row r="40">
          <cell r="B40">
            <v>316105</v>
          </cell>
          <cell r="C40">
            <v>19546</v>
          </cell>
          <cell r="D40">
            <v>335651</v>
          </cell>
          <cell r="F40">
            <v>49561810</v>
          </cell>
          <cell r="H40">
            <v>50172457</v>
          </cell>
          <cell r="J40">
            <v>151957.535</v>
          </cell>
          <cell r="K40">
            <v>20982.462999999989</v>
          </cell>
          <cell r="L40">
            <v>172939.99799999999</v>
          </cell>
        </row>
        <row r="41">
          <cell r="K41">
            <v>6732</v>
          </cell>
        </row>
      </sheetData>
      <sheetData sheetId="6"/>
      <sheetData sheetId="7"/>
      <sheetData sheetId="8">
        <row r="9">
          <cell r="B9">
            <v>0</v>
          </cell>
          <cell r="C9">
            <v>5252</v>
          </cell>
          <cell r="F9">
            <v>0</v>
          </cell>
          <cell r="G9">
            <v>774930</v>
          </cell>
          <cell r="J9">
            <v>0</v>
          </cell>
          <cell r="K9">
            <v>0</v>
          </cell>
        </row>
        <row r="10">
          <cell r="B10">
            <v>36</v>
          </cell>
          <cell r="C10">
            <v>5249</v>
          </cell>
          <cell r="F10">
            <v>1533</v>
          </cell>
          <cell r="G10">
            <v>724054</v>
          </cell>
          <cell r="J10">
            <v>0</v>
          </cell>
          <cell r="K10">
            <v>0</v>
          </cell>
        </row>
        <row r="11">
          <cell r="B11">
            <v>22</v>
          </cell>
          <cell r="C11">
            <v>4280</v>
          </cell>
          <cell r="F11">
            <v>1000</v>
          </cell>
          <cell r="G11">
            <v>616000</v>
          </cell>
          <cell r="J11">
            <v>0</v>
          </cell>
          <cell r="K11">
            <v>0</v>
          </cell>
        </row>
        <row r="12">
          <cell r="B12">
            <v>199</v>
          </cell>
          <cell r="C12">
            <v>3154</v>
          </cell>
          <cell r="F12">
            <v>9049</v>
          </cell>
          <cell r="G12">
            <v>393159</v>
          </cell>
          <cell r="J12">
            <v>0</v>
          </cell>
          <cell r="K12">
            <v>0</v>
          </cell>
        </row>
        <row r="13">
          <cell r="B13">
            <v>4</v>
          </cell>
          <cell r="C13">
            <v>2360</v>
          </cell>
          <cell r="F13">
            <v>130</v>
          </cell>
          <cell r="G13">
            <v>283458</v>
          </cell>
          <cell r="J13">
            <v>0</v>
          </cell>
          <cell r="K13">
            <v>23</v>
          </cell>
        </row>
        <row r="14">
          <cell r="B14">
            <v>0</v>
          </cell>
          <cell r="C14">
            <v>2348</v>
          </cell>
          <cell r="F14">
            <v>0</v>
          </cell>
          <cell r="G14">
            <v>286957</v>
          </cell>
          <cell r="J14">
            <v>0</v>
          </cell>
          <cell r="K14">
            <v>193</v>
          </cell>
        </row>
        <row r="15">
          <cell r="B15">
            <v>50</v>
          </cell>
          <cell r="C15">
            <v>2100</v>
          </cell>
          <cell r="F15">
            <v>9932</v>
          </cell>
          <cell r="G15">
            <v>246125</v>
          </cell>
          <cell r="J15">
            <v>0</v>
          </cell>
          <cell r="K15">
            <v>97</v>
          </cell>
        </row>
        <row r="16">
          <cell r="B16">
            <v>77</v>
          </cell>
          <cell r="C16">
            <v>2623</v>
          </cell>
          <cell r="F16">
            <v>11860</v>
          </cell>
          <cell r="G16">
            <v>361474</v>
          </cell>
          <cell r="J16">
            <v>0.6</v>
          </cell>
          <cell r="K16">
            <v>39.682000000000002</v>
          </cell>
        </row>
        <row r="17">
          <cell r="B17">
            <v>95</v>
          </cell>
          <cell r="C17">
            <v>3518</v>
          </cell>
          <cell r="F17">
            <v>13677</v>
          </cell>
          <cell r="G17">
            <v>510661</v>
          </cell>
          <cell r="J17">
            <v>0</v>
          </cell>
          <cell r="K17">
            <v>10.954000000000001</v>
          </cell>
        </row>
        <row r="18">
          <cell r="B18">
            <v>115</v>
          </cell>
          <cell r="C18">
            <v>2949</v>
          </cell>
          <cell r="F18">
            <v>17431</v>
          </cell>
          <cell r="G18">
            <v>437531</v>
          </cell>
          <cell r="J18">
            <v>1</v>
          </cell>
          <cell r="K18">
            <v>13</v>
          </cell>
        </row>
        <row r="19">
          <cell r="B19">
            <v>157</v>
          </cell>
          <cell r="C19">
            <v>3692</v>
          </cell>
          <cell r="F19">
            <v>19731</v>
          </cell>
          <cell r="G19">
            <v>487193</v>
          </cell>
          <cell r="J19">
            <v>0</v>
          </cell>
          <cell r="K19">
            <v>55</v>
          </cell>
        </row>
        <row r="20">
          <cell r="B20">
            <v>428</v>
          </cell>
          <cell r="C20">
            <v>4506</v>
          </cell>
          <cell r="F20">
            <v>42399</v>
          </cell>
          <cell r="G20">
            <v>543335</v>
          </cell>
          <cell r="J20">
            <v>48</v>
          </cell>
          <cell r="K20">
            <v>154</v>
          </cell>
        </row>
        <row r="21">
          <cell r="B21">
            <v>802</v>
          </cell>
          <cell r="C21">
            <v>4094</v>
          </cell>
          <cell r="F21">
            <v>58126</v>
          </cell>
          <cell r="G21">
            <v>548285</v>
          </cell>
          <cell r="J21">
            <v>206.89999999999998</v>
          </cell>
          <cell r="K21">
            <v>10.7</v>
          </cell>
        </row>
        <row r="22">
          <cell r="B22">
            <v>1724</v>
          </cell>
          <cell r="C22">
            <v>3857</v>
          </cell>
          <cell r="F22">
            <v>63032</v>
          </cell>
          <cell r="G22">
            <v>564190</v>
          </cell>
          <cell r="J22">
            <v>366.73899999999998</v>
          </cell>
          <cell r="K22">
            <v>15.289</v>
          </cell>
        </row>
        <row r="23">
          <cell r="B23">
            <v>1374</v>
          </cell>
          <cell r="C23">
            <v>3917</v>
          </cell>
          <cell r="F23">
            <v>68516</v>
          </cell>
          <cell r="G23">
            <v>533972</v>
          </cell>
          <cell r="J23">
            <v>11.891</v>
          </cell>
          <cell r="K23">
            <v>160.62800000000001</v>
          </cell>
        </row>
        <row r="24">
          <cell r="B24">
            <v>1127</v>
          </cell>
          <cell r="C24">
            <v>4206</v>
          </cell>
          <cell r="F24">
            <v>68833</v>
          </cell>
          <cell r="G24">
            <v>465350</v>
          </cell>
          <cell r="J24">
            <v>1.8820000000000001</v>
          </cell>
          <cell r="K24">
            <v>488.81900000000002</v>
          </cell>
        </row>
        <row r="25">
          <cell r="B25">
            <v>7196</v>
          </cell>
          <cell r="C25">
            <v>3195</v>
          </cell>
          <cell r="F25">
            <v>1006158</v>
          </cell>
          <cell r="G25">
            <v>421727</v>
          </cell>
          <cell r="J25">
            <v>2.5979999999999999</v>
          </cell>
          <cell r="K25">
            <v>280.43200000000002</v>
          </cell>
        </row>
        <row r="26">
          <cell r="B26">
            <v>17103</v>
          </cell>
          <cell r="C26">
            <v>3104</v>
          </cell>
          <cell r="F26">
            <v>2514756</v>
          </cell>
          <cell r="G26">
            <v>421773</v>
          </cell>
          <cell r="J26">
            <v>2.169</v>
          </cell>
          <cell r="K26">
            <v>140.60400000000001</v>
          </cell>
        </row>
        <row r="27">
          <cell r="B27">
            <v>20750</v>
          </cell>
          <cell r="C27">
            <v>2932</v>
          </cell>
          <cell r="F27">
            <v>3174445</v>
          </cell>
          <cell r="G27">
            <v>339167</v>
          </cell>
          <cell r="J27">
            <v>0</v>
          </cell>
          <cell r="K27">
            <v>239.02200000000002</v>
          </cell>
        </row>
        <row r="28">
          <cell r="B28">
            <v>20878</v>
          </cell>
          <cell r="C28">
            <v>3357</v>
          </cell>
          <cell r="F28">
            <v>3231002</v>
          </cell>
          <cell r="G28">
            <v>358154</v>
          </cell>
          <cell r="J28">
            <v>0</v>
          </cell>
          <cell r="K28">
            <v>483.54599999999999</v>
          </cell>
        </row>
        <row r="35">
          <cell r="B35">
            <v>19372</v>
          </cell>
          <cell r="C35">
            <v>7678</v>
          </cell>
          <cell r="F35">
            <v>2631628</v>
          </cell>
          <cell r="G35">
            <v>105240</v>
          </cell>
          <cell r="J35">
            <v>0</v>
          </cell>
          <cell r="K35">
            <v>45.808999999999997</v>
          </cell>
        </row>
        <row r="36">
          <cell r="B36">
            <v>14025</v>
          </cell>
          <cell r="C36">
            <v>6604</v>
          </cell>
          <cell r="F36">
            <v>2063390</v>
          </cell>
          <cell r="G36">
            <v>97256</v>
          </cell>
          <cell r="J36">
            <v>0</v>
          </cell>
          <cell r="K36">
            <v>90.364000000000004</v>
          </cell>
        </row>
        <row r="37">
          <cell r="B37">
            <v>10412</v>
          </cell>
          <cell r="C37">
            <v>9117</v>
          </cell>
          <cell r="F37">
            <v>1679725</v>
          </cell>
          <cell r="G37">
            <v>95601</v>
          </cell>
          <cell r="J37">
            <v>0.28999999999999998</v>
          </cell>
          <cell r="K37">
            <v>95.878</v>
          </cell>
        </row>
        <row r="38">
          <cell r="B38">
            <v>9180</v>
          </cell>
          <cell r="C38">
            <v>9635</v>
          </cell>
          <cell r="F38">
            <v>1510016</v>
          </cell>
          <cell r="G38">
            <v>154747</v>
          </cell>
          <cell r="J38">
            <v>7.0000000000000007E-2</v>
          </cell>
          <cell r="K38">
            <v>51.293999999999997</v>
          </cell>
        </row>
        <row r="39">
          <cell r="B39">
            <v>10913</v>
          </cell>
          <cell r="D39">
            <v>19252</v>
          </cell>
          <cell r="F39">
            <v>1793846</v>
          </cell>
          <cell r="H39">
            <v>1946816</v>
          </cell>
          <cell r="J39">
            <v>0</v>
          </cell>
          <cell r="L39">
            <v>125.501</v>
          </cell>
        </row>
        <row r="40">
          <cell r="B40">
            <v>11607</v>
          </cell>
          <cell r="C40">
            <v>6263</v>
          </cell>
          <cell r="D40">
            <v>17870</v>
          </cell>
          <cell r="F40">
            <v>1909857</v>
          </cell>
          <cell r="H40">
            <v>2019876</v>
          </cell>
          <cell r="J40">
            <v>0.37</v>
          </cell>
          <cell r="K40">
            <v>132.59199999999998</v>
          </cell>
          <cell r="L40">
            <v>132.96199999999999</v>
          </cell>
        </row>
        <row r="41">
          <cell r="K41">
            <v>78</v>
          </cell>
        </row>
      </sheetData>
      <sheetData sheetId="9">
        <row r="9">
          <cell r="B9">
            <v>124</v>
          </cell>
          <cell r="C9">
            <v>2572</v>
          </cell>
          <cell r="F9">
            <v>1572</v>
          </cell>
          <cell r="G9">
            <v>338454</v>
          </cell>
          <cell r="J9">
            <v>2</v>
          </cell>
          <cell r="K9">
            <v>0</v>
          </cell>
        </row>
        <row r="10">
          <cell r="B10">
            <v>0</v>
          </cell>
          <cell r="C10">
            <v>2701</v>
          </cell>
          <cell r="F10">
            <v>0</v>
          </cell>
          <cell r="G10">
            <v>391015</v>
          </cell>
          <cell r="J10">
            <v>0</v>
          </cell>
          <cell r="K10">
            <v>0</v>
          </cell>
        </row>
        <row r="11">
          <cell r="B11">
            <v>0</v>
          </cell>
          <cell r="C11">
            <v>2336</v>
          </cell>
          <cell r="F11">
            <v>0</v>
          </cell>
          <cell r="G11">
            <v>276473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1025</v>
          </cell>
          <cell r="F12">
            <v>0</v>
          </cell>
          <cell r="G12">
            <v>89030</v>
          </cell>
          <cell r="J12">
            <v>0</v>
          </cell>
          <cell r="K12">
            <v>16</v>
          </cell>
        </row>
        <row r="13">
          <cell r="B13">
            <v>0</v>
          </cell>
          <cell r="C13">
            <v>975</v>
          </cell>
          <cell r="F13">
            <v>0</v>
          </cell>
          <cell r="G13">
            <v>91730</v>
          </cell>
          <cell r="J13">
            <v>0</v>
          </cell>
          <cell r="K13">
            <v>1</v>
          </cell>
        </row>
        <row r="14">
          <cell r="B14">
            <v>0</v>
          </cell>
          <cell r="C14">
            <v>966</v>
          </cell>
          <cell r="F14">
            <v>0</v>
          </cell>
          <cell r="G14">
            <v>99994</v>
          </cell>
          <cell r="J14">
            <v>0</v>
          </cell>
          <cell r="K14">
            <v>10</v>
          </cell>
        </row>
        <row r="15">
          <cell r="B15">
            <v>0</v>
          </cell>
          <cell r="C15">
            <v>794</v>
          </cell>
          <cell r="F15">
            <v>0</v>
          </cell>
          <cell r="G15">
            <v>103136</v>
          </cell>
          <cell r="J15">
            <v>0</v>
          </cell>
          <cell r="K15">
            <v>0</v>
          </cell>
        </row>
        <row r="16">
          <cell r="B16">
            <v>4</v>
          </cell>
          <cell r="C16">
            <v>1916</v>
          </cell>
          <cell r="F16">
            <v>0</v>
          </cell>
          <cell r="G16">
            <v>315305</v>
          </cell>
          <cell r="J16">
            <v>0</v>
          </cell>
          <cell r="K16">
            <v>0</v>
          </cell>
        </row>
        <row r="17">
          <cell r="B17">
            <v>890</v>
          </cell>
          <cell r="C17">
            <v>3253</v>
          </cell>
          <cell r="F17">
            <v>16738</v>
          </cell>
          <cell r="G17">
            <v>458045</v>
          </cell>
          <cell r="J17">
            <v>0</v>
          </cell>
          <cell r="K17">
            <v>0</v>
          </cell>
        </row>
        <row r="18">
          <cell r="B18">
            <v>1084</v>
          </cell>
          <cell r="C18">
            <v>2810</v>
          </cell>
          <cell r="F18">
            <v>24935</v>
          </cell>
          <cell r="G18">
            <v>425493</v>
          </cell>
          <cell r="J18">
            <v>0</v>
          </cell>
          <cell r="K18">
            <v>65</v>
          </cell>
        </row>
        <row r="19">
          <cell r="B19">
            <v>1196</v>
          </cell>
          <cell r="C19">
            <v>2922</v>
          </cell>
          <cell r="F19">
            <v>32283</v>
          </cell>
          <cell r="G19">
            <v>485453</v>
          </cell>
          <cell r="J19">
            <v>20</v>
          </cell>
          <cell r="K19">
            <v>0</v>
          </cell>
        </row>
        <row r="20">
          <cell r="B20">
            <v>1041</v>
          </cell>
          <cell r="C20">
            <v>3138</v>
          </cell>
          <cell r="F20">
            <v>33026</v>
          </cell>
          <cell r="G20">
            <v>523420</v>
          </cell>
          <cell r="J20">
            <v>0</v>
          </cell>
          <cell r="K20">
            <v>1</v>
          </cell>
        </row>
        <row r="21">
          <cell r="B21">
            <v>1090</v>
          </cell>
          <cell r="C21">
            <v>3349</v>
          </cell>
          <cell r="F21">
            <v>43831</v>
          </cell>
          <cell r="G21">
            <v>573588</v>
          </cell>
          <cell r="J21">
            <v>0</v>
          </cell>
          <cell r="K21">
            <v>0</v>
          </cell>
        </row>
        <row r="22">
          <cell r="B22">
            <v>1313</v>
          </cell>
          <cell r="C22">
            <v>3631</v>
          </cell>
          <cell r="F22">
            <v>58732</v>
          </cell>
          <cell r="G22">
            <v>627550</v>
          </cell>
          <cell r="J22">
            <v>0.79500000000000004</v>
          </cell>
          <cell r="K22">
            <v>14.531000000000001</v>
          </cell>
        </row>
        <row r="23">
          <cell r="B23">
            <v>1269</v>
          </cell>
          <cell r="C23">
            <v>3806</v>
          </cell>
          <cell r="F23">
            <v>53631</v>
          </cell>
          <cell r="G23">
            <v>679402</v>
          </cell>
          <cell r="J23">
            <v>0.57399999999999995</v>
          </cell>
          <cell r="K23">
            <v>6.1289999999999996</v>
          </cell>
        </row>
        <row r="24">
          <cell r="B24">
            <v>1211</v>
          </cell>
          <cell r="C24">
            <v>4018</v>
          </cell>
          <cell r="F24">
            <v>51974</v>
          </cell>
          <cell r="G24">
            <v>701530</v>
          </cell>
          <cell r="J24">
            <v>1.49</v>
          </cell>
          <cell r="K24">
            <v>6.8079999999999998</v>
          </cell>
        </row>
        <row r="25">
          <cell r="B25">
            <v>2034</v>
          </cell>
          <cell r="C25">
            <v>3865</v>
          </cell>
          <cell r="F25">
            <v>118784</v>
          </cell>
          <cell r="G25">
            <v>718779</v>
          </cell>
          <cell r="J25">
            <v>0.72599999999999998</v>
          </cell>
          <cell r="K25">
            <v>3.5590000000000002</v>
          </cell>
        </row>
        <row r="26">
          <cell r="B26">
            <v>3615</v>
          </cell>
          <cell r="C26">
            <v>3960</v>
          </cell>
          <cell r="F26">
            <v>392487</v>
          </cell>
          <cell r="G26">
            <v>734683</v>
          </cell>
          <cell r="J26">
            <v>0.14799999999999999</v>
          </cell>
          <cell r="K26">
            <v>11.06</v>
          </cell>
        </row>
        <row r="27">
          <cell r="B27">
            <v>5147</v>
          </cell>
          <cell r="C27">
            <v>4423</v>
          </cell>
          <cell r="F27">
            <v>623119</v>
          </cell>
          <cell r="G27">
            <v>728489</v>
          </cell>
          <cell r="J27">
            <v>3.0000000000000001E-3</v>
          </cell>
          <cell r="K27">
            <v>16.309999999999999</v>
          </cell>
        </row>
        <row r="35">
          <cell r="B35">
            <v>4946</v>
          </cell>
          <cell r="C35">
            <v>12031</v>
          </cell>
          <cell r="F35">
            <v>674385</v>
          </cell>
          <cell r="G35">
            <v>296781</v>
          </cell>
          <cell r="J35">
            <v>0</v>
          </cell>
          <cell r="K35">
            <v>0.06</v>
          </cell>
        </row>
        <row r="36">
          <cell r="B36">
            <v>3795</v>
          </cell>
          <cell r="C36">
            <v>12191</v>
          </cell>
          <cell r="F36">
            <v>551244</v>
          </cell>
          <cell r="G36">
            <v>299404</v>
          </cell>
          <cell r="J36">
            <v>0</v>
          </cell>
          <cell r="K36">
            <v>0.06</v>
          </cell>
        </row>
        <row r="37">
          <cell r="B37">
            <v>2438</v>
          </cell>
          <cell r="C37">
            <v>11095</v>
          </cell>
          <cell r="F37">
            <v>387425</v>
          </cell>
          <cell r="G37">
            <v>317613</v>
          </cell>
          <cell r="J37">
            <v>0</v>
          </cell>
          <cell r="K37">
            <v>0.01</v>
          </cell>
        </row>
        <row r="38">
          <cell r="B38">
            <v>3372</v>
          </cell>
          <cell r="C38">
            <v>11100</v>
          </cell>
          <cell r="F38">
            <v>566608</v>
          </cell>
          <cell r="G38">
            <v>251003</v>
          </cell>
          <cell r="J38">
            <v>0</v>
          </cell>
          <cell r="K38">
            <v>1.2250000000000001</v>
          </cell>
        </row>
        <row r="39">
          <cell r="B39">
            <v>4684</v>
          </cell>
          <cell r="D39">
            <v>16023</v>
          </cell>
          <cell r="F39">
            <v>763196</v>
          </cell>
          <cell r="H39">
            <v>1022964</v>
          </cell>
          <cell r="J39">
            <v>0</v>
          </cell>
          <cell r="L39">
            <v>0</v>
          </cell>
        </row>
        <row r="40">
          <cell r="B40">
            <v>4771</v>
          </cell>
          <cell r="C40">
            <v>12084</v>
          </cell>
          <cell r="D40">
            <v>16855</v>
          </cell>
          <cell r="F40">
            <v>798946</v>
          </cell>
          <cell r="H40">
            <v>1037576</v>
          </cell>
          <cell r="J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256"/>
  <sheetViews>
    <sheetView showGridLines="0" tabSelected="1" zoomScaleNormal="100" workbookViewId="0">
      <selection activeCell="C10" sqref="C10"/>
    </sheetView>
  </sheetViews>
  <sheetFormatPr defaultColWidth="11.453125" defaultRowHeight="12.5" x14ac:dyDescent="0.25"/>
  <cols>
    <col min="1" max="1" width="9.1796875" style="2" customWidth="1"/>
    <col min="2" max="2" width="93.453125" style="2" customWidth="1"/>
    <col min="3" max="256" width="11.453125" style="2"/>
    <col min="257" max="257" width="9.1796875" style="2" customWidth="1"/>
    <col min="258" max="258" width="93.453125" style="2" customWidth="1"/>
    <col min="259" max="512" width="11.453125" style="2"/>
    <col min="513" max="513" width="9.1796875" style="2" customWidth="1"/>
    <col min="514" max="514" width="93.453125" style="2" customWidth="1"/>
    <col min="515" max="768" width="11.453125" style="2"/>
    <col min="769" max="769" width="9.1796875" style="2" customWidth="1"/>
    <col min="770" max="770" width="93.453125" style="2" customWidth="1"/>
    <col min="771" max="1024" width="11.453125" style="2"/>
    <col min="1025" max="1025" width="9.1796875" style="2" customWidth="1"/>
    <col min="1026" max="1026" width="93.453125" style="2" customWidth="1"/>
    <col min="1027" max="1280" width="11.453125" style="2"/>
    <col min="1281" max="1281" width="9.1796875" style="2" customWidth="1"/>
    <col min="1282" max="1282" width="93.453125" style="2" customWidth="1"/>
    <col min="1283" max="1536" width="11.453125" style="2"/>
    <col min="1537" max="1537" width="9.1796875" style="2" customWidth="1"/>
    <col min="1538" max="1538" width="93.453125" style="2" customWidth="1"/>
    <col min="1539" max="1792" width="11.453125" style="2"/>
    <col min="1793" max="1793" width="9.1796875" style="2" customWidth="1"/>
    <col min="1794" max="1794" width="93.453125" style="2" customWidth="1"/>
    <col min="1795" max="2048" width="11.453125" style="2"/>
    <col min="2049" max="2049" width="9.1796875" style="2" customWidth="1"/>
    <col min="2050" max="2050" width="93.453125" style="2" customWidth="1"/>
    <col min="2051" max="2304" width="11.453125" style="2"/>
    <col min="2305" max="2305" width="9.1796875" style="2" customWidth="1"/>
    <col min="2306" max="2306" width="93.453125" style="2" customWidth="1"/>
    <col min="2307" max="2560" width="11.453125" style="2"/>
    <col min="2561" max="2561" width="9.1796875" style="2" customWidth="1"/>
    <col min="2562" max="2562" width="93.453125" style="2" customWidth="1"/>
    <col min="2563" max="2816" width="11.453125" style="2"/>
    <col min="2817" max="2817" width="9.1796875" style="2" customWidth="1"/>
    <col min="2818" max="2818" width="93.453125" style="2" customWidth="1"/>
    <col min="2819" max="3072" width="11.453125" style="2"/>
    <col min="3073" max="3073" width="9.1796875" style="2" customWidth="1"/>
    <col min="3074" max="3074" width="93.453125" style="2" customWidth="1"/>
    <col min="3075" max="3328" width="11.453125" style="2"/>
    <col min="3329" max="3329" width="9.1796875" style="2" customWidth="1"/>
    <col min="3330" max="3330" width="93.453125" style="2" customWidth="1"/>
    <col min="3331" max="3584" width="11.453125" style="2"/>
    <col min="3585" max="3585" width="9.1796875" style="2" customWidth="1"/>
    <col min="3586" max="3586" width="93.453125" style="2" customWidth="1"/>
    <col min="3587" max="3840" width="11.453125" style="2"/>
    <col min="3841" max="3841" width="9.1796875" style="2" customWidth="1"/>
    <col min="3842" max="3842" width="93.453125" style="2" customWidth="1"/>
    <col min="3843" max="4096" width="11.453125" style="2"/>
    <col min="4097" max="4097" width="9.1796875" style="2" customWidth="1"/>
    <col min="4098" max="4098" width="93.453125" style="2" customWidth="1"/>
    <col min="4099" max="4352" width="11.453125" style="2"/>
    <col min="4353" max="4353" width="9.1796875" style="2" customWidth="1"/>
    <col min="4354" max="4354" width="93.453125" style="2" customWidth="1"/>
    <col min="4355" max="4608" width="11.453125" style="2"/>
    <col min="4609" max="4609" width="9.1796875" style="2" customWidth="1"/>
    <col min="4610" max="4610" width="93.453125" style="2" customWidth="1"/>
    <col min="4611" max="4864" width="11.453125" style="2"/>
    <col min="4865" max="4865" width="9.1796875" style="2" customWidth="1"/>
    <col min="4866" max="4866" width="93.453125" style="2" customWidth="1"/>
    <col min="4867" max="5120" width="11.453125" style="2"/>
    <col min="5121" max="5121" width="9.1796875" style="2" customWidth="1"/>
    <col min="5122" max="5122" width="93.453125" style="2" customWidth="1"/>
    <col min="5123" max="5376" width="11.453125" style="2"/>
    <col min="5377" max="5377" width="9.1796875" style="2" customWidth="1"/>
    <col min="5378" max="5378" width="93.453125" style="2" customWidth="1"/>
    <col min="5379" max="5632" width="11.453125" style="2"/>
    <col min="5633" max="5633" width="9.1796875" style="2" customWidth="1"/>
    <col min="5634" max="5634" width="93.453125" style="2" customWidth="1"/>
    <col min="5635" max="5888" width="11.453125" style="2"/>
    <col min="5889" max="5889" width="9.1796875" style="2" customWidth="1"/>
    <col min="5890" max="5890" width="93.453125" style="2" customWidth="1"/>
    <col min="5891" max="6144" width="11.453125" style="2"/>
    <col min="6145" max="6145" width="9.1796875" style="2" customWidth="1"/>
    <col min="6146" max="6146" width="93.453125" style="2" customWidth="1"/>
    <col min="6147" max="6400" width="11.453125" style="2"/>
    <col min="6401" max="6401" width="9.1796875" style="2" customWidth="1"/>
    <col min="6402" max="6402" width="93.453125" style="2" customWidth="1"/>
    <col min="6403" max="6656" width="11.453125" style="2"/>
    <col min="6657" max="6657" width="9.1796875" style="2" customWidth="1"/>
    <col min="6658" max="6658" width="93.453125" style="2" customWidth="1"/>
    <col min="6659" max="6912" width="11.453125" style="2"/>
    <col min="6913" max="6913" width="9.1796875" style="2" customWidth="1"/>
    <col min="6914" max="6914" width="93.453125" style="2" customWidth="1"/>
    <col min="6915" max="7168" width="11.453125" style="2"/>
    <col min="7169" max="7169" width="9.1796875" style="2" customWidth="1"/>
    <col min="7170" max="7170" width="93.453125" style="2" customWidth="1"/>
    <col min="7171" max="7424" width="11.453125" style="2"/>
    <col min="7425" max="7425" width="9.1796875" style="2" customWidth="1"/>
    <col min="7426" max="7426" width="93.453125" style="2" customWidth="1"/>
    <col min="7427" max="7680" width="11.453125" style="2"/>
    <col min="7681" max="7681" width="9.1796875" style="2" customWidth="1"/>
    <col min="7682" max="7682" width="93.453125" style="2" customWidth="1"/>
    <col min="7683" max="7936" width="11.453125" style="2"/>
    <col min="7937" max="7937" width="9.1796875" style="2" customWidth="1"/>
    <col min="7938" max="7938" width="93.453125" style="2" customWidth="1"/>
    <col min="7939" max="8192" width="11.453125" style="2"/>
    <col min="8193" max="8193" width="9.1796875" style="2" customWidth="1"/>
    <col min="8194" max="8194" width="93.453125" style="2" customWidth="1"/>
    <col min="8195" max="8448" width="11.453125" style="2"/>
    <col min="8449" max="8449" width="9.1796875" style="2" customWidth="1"/>
    <col min="8450" max="8450" width="93.453125" style="2" customWidth="1"/>
    <col min="8451" max="8704" width="11.453125" style="2"/>
    <col min="8705" max="8705" width="9.1796875" style="2" customWidth="1"/>
    <col min="8706" max="8706" width="93.453125" style="2" customWidth="1"/>
    <col min="8707" max="8960" width="11.453125" style="2"/>
    <col min="8961" max="8961" width="9.1796875" style="2" customWidth="1"/>
    <col min="8962" max="8962" width="93.453125" style="2" customWidth="1"/>
    <col min="8963" max="9216" width="11.453125" style="2"/>
    <col min="9217" max="9217" width="9.1796875" style="2" customWidth="1"/>
    <col min="9218" max="9218" width="93.453125" style="2" customWidth="1"/>
    <col min="9219" max="9472" width="11.453125" style="2"/>
    <col min="9473" max="9473" width="9.1796875" style="2" customWidth="1"/>
    <col min="9474" max="9474" width="93.453125" style="2" customWidth="1"/>
    <col min="9475" max="9728" width="11.453125" style="2"/>
    <col min="9729" max="9729" width="9.1796875" style="2" customWidth="1"/>
    <col min="9730" max="9730" width="93.453125" style="2" customWidth="1"/>
    <col min="9731" max="9984" width="11.453125" style="2"/>
    <col min="9985" max="9985" width="9.1796875" style="2" customWidth="1"/>
    <col min="9986" max="9986" width="93.453125" style="2" customWidth="1"/>
    <col min="9987" max="10240" width="11.453125" style="2"/>
    <col min="10241" max="10241" width="9.1796875" style="2" customWidth="1"/>
    <col min="10242" max="10242" width="93.453125" style="2" customWidth="1"/>
    <col min="10243" max="10496" width="11.453125" style="2"/>
    <col min="10497" max="10497" width="9.1796875" style="2" customWidth="1"/>
    <col min="10498" max="10498" width="93.453125" style="2" customWidth="1"/>
    <col min="10499" max="10752" width="11.453125" style="2"/>
    <col min="10753" max="10753" width="9.1796875" style="2" customWidth="1"/>
    <col min="10754" max="10754" width="93.453125" style="2" customWidth="1"/>
    <col min="10755" max="11008" width="11.453125" style="2"/>
    <col min="11009" max="11009" width="9.1796875" style="2" customWidth="1"/>
    <col min="11010" max="11010" width="93.453125" style="2" customWidth="1"/>
    <col min="11011" max="11264" width="11.453125" style="2"/>
    <col min="11265" max="11265" width="9.1796875" style="2" customWidth="1"/>
    <col min="11266" max="11266" width="93.453125" style="2" customWidth="1"/>
    <col min="11267" max="11520" width="11.453125" style="2"/>
    <col min="11521" max="11521" width="9.1796875" style="2" customWidth="1"/>
    <col min="11522" max="11522" width="93.453125" style="2" customWidth="1"/>
    <col min="11523" max="11776" width="11.453125" style="2"/>
    <col min="11777" max="11777" width="9.1796875" style="2" customWidth="1"/>
    <col min="11778" max="11778" width="93.453125" style="2" customWidth="1"/>
    <col min="11779" max="12032" width="11.453125" style="2"/>
    <col min="12033" max="12033" width="9.1796875" style="2" customWidth="1"/>
    <col min="12034" max="12034" width="93.453125" style="2" customWidth="1"/>
    <col min="12035" max="12288" width="11.453125" style="2"/>
    <col min="12289" max="12289" width="9.1796875" style="2" customWidth="1"/>
    <col min="12290" max="12290" width="93.453125" style="2" customWidth="1"/>
    <col min="12291" max="12544" width="11.453125" style="2"/>
    <col min="12545" max="12545" width="9.1796875" style="2" customWidth="1"/>
    <col min="12546" max="12546" width="93.453125" style="2" customWidth="1"/>
    <col min="12547" max="12800" width="11.453125" style="2"/>
    <col min="12801" max="12801" width="9.1796875" style="2" customWidth="1"/>
    <col min="12802" max="12802" width="93.453125" style="2" customWidth="1"/>
    <col min="12803" max="13056" width="11.453125" style="2"/>
    <col min="13057" max="13057" width="9.1796875" style="2" customWidth="1"/>
    <col min="13058" max="13058" width="93.453125" style="2" customWidth="1"/>
    <col min="13059" max="13312" width="11.453125" style="2"/>
    <col min="13313" max="13313" width="9.1796875" style="2" customWidth="1"/>
    <col min="13314" max="13314" width="93.453125" style="2" customWidth="1"/>
    <col min="13315" max="13568" width="11.453125" style="2"/>
    <col min="13569" max="13569" width="9.1796875" style="2" customWidth="1"/>
    <col min="13570" max="13570" width="93.453125" style="2" customWidth="1"/>
    <col min="13571" max="13824" width="11.453125" style="2"/>
    <col min="13825" max="13825" width="9.1796875" style="2" customWidth="1"/>
    <col min="13826" max="13826" width="93.453125" style="2" customWidth="1"/>
    <col min="13827" max="14080" width="11.453125" style="2"/>
    <col min="14081" max="14081" width="9.1796875" style="2" customWidth="1"/>
    <col min="14082" max="14082" width="93.453125" style="2" customWidth="1"/>
    <col min="14083" max="14336" width="11.453125" style="2"/>
    <col min="14337" max="14337" width="9.1796875" style="2" customWidth="1"/>
    <col min="14338" max="14338" width="93.453125" style="2" customWidth="1"/>
    <col min="14339" max="14592" width="11.453125" style="2"/>
    <col min="14593" max="14593" width="9.1796875" style="2" customWidth="1"/>
    <col min="14594" max="14594" width="93.453125" style="2" customWidth="1"/>
    <col min="14595" max="14848" width="11.453125" style="2"/>
    <col min="14849" max="14849" width="9.1796875" style="2" customWidth="1"/>
    <col min="14850" max="14850" width="93.453125" style="2" customWidth="1"/>
    <col min="14851" max="15104" width="11.453125" style="2"/>
    <col min="15105" max="15105" width="9.1796875" style="2" customWidth="1"/>
    <col min="15106" max="15106" width="93.453125" style="2" customWidth="1"/>
    <col min="15107" max="15360" width="11.453125" style="2"/>
    <col min="15361" max="15361" width="9.1796875" style="2" customWidth="1"/>
    <col min="15362" max="15362" width="93.453125" style="2" customWidth="1"/>
    <col min="15363" max="15616" width="11.453125" style="2"/>
    <col min="15617" max="15617" width="9.1796875" style="2" customWidth="1"/>
    <col min="15618" max="15618" width="93.453125" style="2" customWidth="1"/>
    <col min="15619" max="15872" width="11.453125" style="2"/>
    <col min="15873" max="15873" width="9.1796875" style="2" customWidth="1"/>
    <col min="15874" max="15874" width="93.453125" style="2" customWidth="1"/>
    <col min="15875" max="16128" width="11.453125" style="2"/>
    <col min="16129" max="16129" width="9.1796875" style="2" customWidth="1"/>
    <col min="16130" max="16130" width="93.453125" style="2" customWidth="1"/>
    <col min="16131" max="16384" width="11.453125" style="2"/>
  </cols>
  <sheetData>
    <row r="1" spans="1:2" ht="18" x14ac:dyDescent="0.4">
      <c r="A1" s="1" t="s">
        <v>0</v>
      </c>
      <c r="B1" s="1" t="s">
        <v>1</v>
      </c>
    </row>
    <row r="2" spans="1:2" ht="14" x14ac:dyDescent="0.3">
      <c r="B2" s="3"/>
    </row>
    <row r="3" spans="1:2" s="4" customFormat="1" ht="20.149999999999999" customHeight="1" x14ac:dyDescent="0.3">
      <c r="A3" s="4" t="s">
        <v>2</v>
      </c>
      <c r="B3" s="4" t="s">
        <v>3</v>
      </c>
    </row>
    <row r="4" spans="1:2" s="4" customFormat="1" ht="20.149999999999999" customHeight="1" x14ac:dyDescent="0.3">
      <c r="A4" s="4" t="s">
        <v>4</v>
      </c>
      <c r="B4" s="4" t="s">
        <v>5</v>
      </c>
    </row>
    <row r="5" spans="1:2" s="4" customFormat="1" ht="20.149999999999999" customHeight="1" x14ac:dyDescent="0.3">
      <c r="A5" s="4" t="s">
        <v>6</v>
      </c>
      <c r="B5" s="4" t="s">
        <v>7</v>
      </c>
    </row>
    <row r="6" spans="1:2" s="4" customFormat="1" ht="20.149999999999999" customHeight="1" x14ac:dyDescent="0.3">
      <c r="A6" s="4" t="s">
        <v>8</v>
      </c>
      <c r="B6" s="4" t="s">
        <v>9</v>
      </c>
    </row>
    <row r="7" spans="1:2" s="4" customFormat="1" ht="20.149999999999999" customHeight="1" x14ac:dyDescent="0.3">
      <c r="A7" s="4" t="s">
        <v>10</v>
      </c>
      <c r="B7" s="4" t="s">
        <v>11</v>
      </c>
    </row>
    <row r="8" spans="1:2" s="4" customFormat="1" ht="20.149999999999999" customHeight="1" x14ac:dyDescent="0.3">
      <c r="A8" s="4" t="s">
        <v>12</v>
      </c>
      <c r="B8" s="4" t="s">
        <v>13</v>
      </c>
    </row>
    <row r="9" spans="1:2" s="4" customFormat="1" ht="20.149999999999999" customHeight="1" x14ac:dyDescent="0.3">
      <c r="A9" s="5" t="s">
        <v>14</v>
      </c>
      <c r="B9" s="5" t="s">
        <v>373</v>
      </c>
    </row>
    <row r="10" spans="1:2" s="4" customFormat="1" ht="20.149999999999999" customHeight="1" x14ac:dyDescent="0.3">
      <c r="A10" s="4" t="s">
        <v>15</v>
      </c>
      <c r="B10" s="4" t="s">
        <v>16</v>
      </c>
    </row>
    <row r="11" spans="1:2" s="4" customFormat="1" ht="20.149999999999999" customHeight="1" x14ac:dyDescent="0.3">
      <c r="A11" s="4" t="s">
        <v>17</v>
      </c>
      <c r="B11" s="4" t="s">
        <v>18</v>
      </c>
    </row>
    <row r="12" spans="1:2" s="4" customFormat="1" ht="20.149999999999999" customHeight="1" x14ac:dyDescent="0.3">
      <c r="A12" s="4" t="s">
        <v>19</v>
      </c>
      <c r="B12" s="4" t="s">
        <v>20</v>
      </c>
    </row>
    <row r="13" spans="1:2" s="4" customFormat="1" ht="20.149999999999999" customHeight="1" x14ac:dyDescent="0.3">
      <c r="A13" s="4" t="s">
        <v>21</v>
      </c>
      <c r="B13" s="4" t="s">
        <v>22</v>
      </c>
    </row>
    <row r="14" spans="1:2" s="4" customFormat="1" ht="20.149999999999999" customHeight="1" x14ac:dyDescent="0.3">
      <c r="A14" s="5" t="s">
        <v>23</v>
      </c>
      <c r="B14" s="4" t="s">
        <v>24</v>
      </c>
    </row>
    <row r="15" spans="1:2" s="4" customFormat="1" ht="20.149999999999999" customHeight="1" x14ac:dyDescent="0.3">
      <c r="A15" s="5" t="s">
        <v>25</v>
      </c>
      <c r="B15" s="4" t="s">
        <v>26</v>
      </c>
    </row>
    <row r="16" spans="1:2" s="4" customFormat="1" ht="20.149999999999999" customHeight="1" x14ac:dyDescent="0.3">
      <c r="A16" s="4" t="s">
        <v>27</v>
      </c>
      <c r="B16" s="4" t="s">
        <v>28</v>
      </c>
    </row>
    <row r="17" spans="1:2" s="4" customFormat="1" ht="20.149999999999999" customHeight="1" x14ac:dyDescent="0.3">
      <c r="A17" s="4" t="s">
        <v>29</v>
      </c>
      <c r="B17" s="4" t="s">
        <v>30</v>
      </c>
    </row>
    <row r="18" spans="1:2" s="4" customFormat="1" ht="19.5" customHeight="1" x14ac:dyDescent="0.3">
      <c r="A18" s="4" t="s">
        <v>31</v>
      </c>
      <c r="B18" s="4" t="s">
        <v>32</v>
      </c>
    </row>
    <row r="19" spans="1:2" s="4" customFormat="1" ht="14" x14ac:dyDescent="0.3"/>
    <row r="20" spans="1:2" s="4" customFormat="1" ht="14" x14ac:dyDescent="0.3"/>
    <row r="21" spans="1:2" s="4" customFormat="1" ht="14" x14ac:dyDescent="0.3"/>
    <row r="22" spans="1:2" s="4" customFormat="1" ht="14" x14ac:dyDescent="0.3"/>
    <row r="23" spans="1:2" s="4" customFormat="1" ht="14" x14ac:dyDescent="0.3"/>
    <row r="24" spans="1:2" s="4" customFormat="1" ht="14" x14ac:dyDescent="0.3"/>
    <row r="25" spans="1:2" s="4" customFormat="1" ht="14" x14ac:dyDescent="0.3"/>
    <row r="26" spans="1:2" s="4" customFormat="1" ht="14" x14ac:dyDescent="0.3"/>
    <row r="27" spans="1:2" s="4" customFormat="1" ht="14" x14ac:dyDescent="0.3"/>
    <row r="28" spans="1:2" s="4" customFormat="1" ht="14" x14ac:dyDescent="0.3"/>
    <row r="29" spans="1:2" s="4" customFormat="1" ht="14" x14ac:dyDescent="0.3"/>
    <row r="30" spans="1:2" s="4" customFormat="1" ht="14" x14ac:dyDescent="0.3"/>
    <row r="31" spans="1:2" s="4" customFormat="1" ht="14" x14ac:dyDescent="0.3"/>
    <row r="32" spans="1:2" s="4" customFormat="1" ht="14" x14ac:dyDescent="0.3"/>
    <row r="33" s="4" customFormat="1" ht="14" x14ac:dyDescent="0.3"/>
    <row r="34" s="4" customFormat="1" ht="14" x14ac:dyDescent="0.3"/>
    <row r="35" s="4" customFormat="1" ht="14" x14ac:dyDescent="0.3"/>
    <row r="36" s="4" customFormat="1" ht="14" x14ac:dyDescent="0.3"/>
    <row r="37" s="4" customFormat="1" ht="14" x14ac:dyDescent="0.3"/>
    <row r="38" s="4" customFormat="1" ht="14" x14ac:dyDescent="0.3"/>
    <row r="39" s="4" customFormat="1" ht="14" x14ac:dyDescent="0.3"/>
    <row r="40" s="4" customFormat="1" ht="14" x14ac:dyDescent="0.3"/>
    <row r="41" s="4" customFormat="1" ht="14" x14ac:dyDescent="0.3"/>
    <row r="42" s="4" customFormat="1" ht="14" x14ac:dyDescent="0.3"/>
    <row r="43" s="4" customFormat="1" ht="14" x14ac:dyDescent="0.3"/>
    <row r="44" s="4" customFormat="1" ht="14" x14ac:dyDescent="0.3"/>
    <row r="45" s="4" customFormat="1" ht="14" x14ac:dyDescent="0.3"/>
    <row r="46" s="4" customFormat="1" ht="14" x14ac:dyDescent="0.3"/>
    <row r="47" s="4" customFormat="1" ht="14" x14ac:dyDescent="0.3"/>
    <row r="48" s="4" customFormat="1" ht="14" x14ac:dyDescent="0.3"/>
    <row r="49" s="4" customFormat="1" ht="14" x14ac:dyDescent="0.3"/>
    <row r="50" s="4" customFormat="1" ht="14" x14ac:dyDescent="0.3"/>
    <row r="51" s="4" customFormat="1" ht="14" x14ac:dyDescent="0.3"/>
    <row r="52" s="4" customFormat="1" ht="14" x14ac:dyDescent="0.3"/>
    <row r="53" s="4" customFormat="1" ht="14" x14ac:dyDescent="0.3"/>
    <row r="54" s="4" customFormat="1" ht="14" x14ac:dyDescent="0.3"/>
    <row r="55" s="4" customFormat="1" ht="14" x14ac:dyDescent="0.3"/>
    <row r="56" s="4" customFormat="1" ht="14" x14ac:dyDescent="0.3"/>
    <row r="57" s="4" customFormat="1" ht="14" x14ac:dyDescent="0.3"/>
    <row r="58" s="4" customFormat="1" ht="14" x14ac:dyDescent="0.3"/>
    <row r="59" s="4" customFormat="1" ht="14" x14ac:dyDescent="0.3"/>
    <row r="60" s="4" customFormat="1" ht="14" x14ac:dyDescent="0.3"/>
    <row r="61" s="4" customFormat="1" ht="14" x14ac:dyDescent="0.3"/>
    <row r="62" s="4" customFormat="1" ht="14" x14ac:dyDescent="0.3"/>
    <row r="63" s="4" customFormat="1" ht="14" x14ac:dyDescent="0.3"/>
    <row r="64" s="4" customFormat="1" ht="14" x14ac:dyDescent="0.3"/>
    <row r="65" s="4" customFormat="1" ht="14" x14ac:dyDescent="0.3"/>
    <row r="66" s="4" customFormat="1" ht="14" x14ac:dyDescent="0.3"/>
    <row r="67" s="4" customFormat="1" ht="14" x14ac:dyDescent="0.3"/>
    <row r="68" s="4" customFormat="1" ht="14" x14ac:dyDescent="0.3"/>
    <row r="69" s="4" customFormat="1" ht="14" x14ac:dyDescent="0.3"/>
    <row r="70" s="4" customFormat="1" ht="14" x14ac:dyDescent="0.3"/>
    <row r="71" s="4" customFormat="1" ht="14" x14ac:dyDescent="0.3"/>
    <row r="72" s="4" customFormat="1" ht="14" x14ac:dyDescent="0.3"/>
    <row r="73" s="4" customFormat="1" ht="14" x14ac:dyDescent="0.3"/>
    <row r="74" s="4" customFormat="1" ht="14" x14ac:dyDescent="0.3"/>
    <row r="75" s="4" customFormat="1" ht="14" x14ac:dyDescent="0.3"/>
    <row r="76" s="4" customFormat="1" ht="14" x14ac:dyDescent="0.3"/>
    <row r="77" s="4" customFormat="1" ht="14" x14ac:dyDescent="0.3"/>
    <row r="78" s="4" customFormat="1" ht="14" x14ac:dyDescent="0.3"/>
    <row r="79" s="4" customFormat="1" ht="14" x14ac:dyDescent="0.3"/>
    <row r="80" s="4" customFormat="1" ht="14" x14ac:dyDescent="0.3"/>
    <row r="81" s="4" customFormat="1" ht="14" x14ac:dyDescent="0.3"/>
    <row r="82" s="4" customFormat="1" ht="14" x14ac:dyDescent="0.3"/>
    <row r="83" s="4" customFormat="1" ht="14" x14ac:dyDescent="0.3"/>
    <row r="84" s="4" customFormat="1" ht="14" x14ac:dyDescent="0.3"/>
    <row r="85" s="4" customFormat="1" ht="14" x14ac:dyDescent="0.3"/>
    <row r="86" s="4" customFormat="1" ht="14" x14ac:dyDescent="0.3"/>
    <row r="87" s="4" customFormat="1" ht="14" x14ac:dyDescent="0.3"/>
    <row r="88" s="4" customFormat="1" ht="14" x14ac:dyDescent="0.3"/>
    <row r="89" s="4" customFormat="1" ht="14" x14ac:dyDescent="0.3"/>
    <row r="90" s="4" customFormat="1" ht="14" x14ac:dyDescent="0.3"/>
    <row r="91" s="4" customFormat="1" ht="14" x14ac:dyDescent="0.3"/>
    <row r="92" s="4" customFormat="1" ht="14" x14ac:dyDescent="0.3"/>
    <row r="93" s="4" customFormat="1" ht="14" x14ac:dyDescent="0.3"/>
    <row r="94" s="4" customFormat="1" ht="14" x14ac:dyDescent="0.3"/>
    <row r="95" s="4" customFormat="1" ht="14" x14ac:dyDescent="0.3"/>
    <row r="96" s="4" customFormat="1" ht="14" x14ac:dyDescent="0.3"/>
    <row r="97" s="4" customFormat="1" ht="14" x14ac:dyDescent="0.3"/>
    <row r="98" s="4" customFormat="1" ht="14" x14ac:dyDescent="0.3"/>
    <row r="99" s="4" customFormat="1" ht="14" x14ac:dyDescent="0.3"/>
    <row r="100" s="4" customFormat="1" ht="14" x14ac:dyDescent="0.3"/>
    <row r="101" s="4" customFormat="1" ht="14" x14ac:dyDescent="0.3"/>
    <row r="102" s="4" customFormat="1" ht="14" x14ac:dyDescent="0.3"/>
    <row r="103" s="4" customFormat="1" ht="14" x14ac:dyDescent="0.3"/>
    <row r="104" s="4" customFormat="1" ht="14" x14ac:dyDescent="0.3"/>
    <row r="105" s="4" customFormat="1" ht="14" x14ac:dyDescent="0.3"/>
    <row r="106" s="4" customFormat="1" ht="14" x14ac:dyDescent="0.3"/>
    <row r="107" s="4" customFormat="1" ht="14" x14ac:dyDescent="0.3"/>
    <row r="108" s="4" customFormat="1" ht="14" x14ac:dyDescent="0.3"/>
    <row r="109" s="4" customFormat="1" ht="14" x14ac:dyDescent="0.3"/>
    <row r="110" s="4" customFormat="1" ht="14" x14ac:dyDescent="0.3"/>
    <row r="111" s="4" customFormat="1" ht="14" x14ac:dyDescent="0.3"/>
    <row r="112" s="4" customFormat="1" ht="14" x14ac:dyDescent="0.3"/>
    <row r="113" s="4" customFormat="1" ht="14" x14ac:dyDescent="0.3"/>
    <row r="114" s="4" customFormat="1" ht="14" x14ac:dyDescent="0.3"/>
    <row r="115" s="4" customFormat="1" ht="14" x14ac:dyDescent="0.3"/>
    <row r="116" s="4" customFormat="1" ht="14" x14ac:dyDescent="0.3"/>
    <row r="117" s="4" customFormat="1" ht="14" x14ac:dyDescent="0.3"/>
    <row r="118" s="4" customFormat="1" ht="14" x14ac:dyDescent="0.3"/>
    <row r="119" s="4" customFormat="1" ht="14" x14ac:dyDescent="0.3"/>
    <row r="120" s="4" customFormat="1" ht="14" x14ac:dyDescent="0.3"/>
    <row r="121" s="4" customFormat="1" ht="14" x14ac:dyDescent="0.3"/>
    <row r="122" s="4" customFormat="1" ht="14" x14ac:dyDescent="0.3"/>
    <row r="123" s="4" customFormat="1" ht="14" x14ac:dyDescent="0.3"/>
    <row r="124" s="4" customFormat="1" ht="14" x14ac:dyDescent="0.3"/>
    <row r="125" s="4" customFormat="1" ht="14" x14ac:dyDescent="0.3"/>
    <row r="126" s="4" customFormat="1" ht="14" x14ac:dyDescent="0.3"/>
    <row r="127" s="4" customFormat="1" ht="14" x14ac:dyDescent="0.3"/>
    <row r="128" s="4" customFormat="1" ht="14" x14ac:dyDescent="0.3"/>
    <row r="129" s="4" customFormat="1" ht="14" x14ac:dyDescent="0.3"/>
    <row r="130" s="4" customFormat="1" ht="14" x14ac:dyDescent="0.3"/>
    <row r="131" s="4" customFormat="1" ht="14" x14ac:dyDescent="0.3"/>
    <row r="132" s="4" customFormat="1" ht="14" x14ac:dyDescent="0.3"/>
    <row r="133" s="4" customFormat="1" ht="14" x14ac:dyDescent="0.3"/>
    <row r="134" s="4" customFormat="1" ht="14" x14ac:dyDescent="0.3"/>
    <row r="135" s="4" customFormat="1" ht="14" x14ac:dyDescent="0.3"/>
    <row r="136" s="4" customFormat="1" ht="14" x14ac:dyDescent="0.3"/>
    <row r="137" s="4" customFormat="1" ht="14" x14ac:dyDescent="0.3"/>
    <row r="138" s="4" customFormat="1" ht="14" x14ac:dyDescent="0.3"/>
    <row r="139" s="4" customFormat="1" ht="14" x14ac:dyDescent="0.3"/>
    <row r="140" s="4" customFormat="1" ht="14" x14ac:dyDescent="0.3"/>
    <row r="141" s="4" customFormat="1" ht="14" x14ac:dyDescent="0.3"/>
    <row r="142" s="4" customFormat="1" ht="14" x14ac:dyDescent="0.3"/>
    <row r="143" s="4" customFormat="1" ht="14" x14ac:dyDescent="0.3"/>
    <row r="144" s="4" customFormat="1" ht="14" x14ac:dyDescent="0.3"/>
    <row r="145" s="4" customFormat="1" ht="14" x14ac:dyDescent="0.3"/>
    <row r="146" s="4" customFormat="1" ht="14" x14ac:dyDescent="0.3"/>
    <row r="147" s="4" customFormat="1" ht="14" x14ac:dyDescent="0.3"/>
    <row r="148" s="4" customFormat="1" ht="14" x14ac:dyDescent="0.3"/>
    <row r="149" s="4" customFormat="1" ht="14" x14ac:dyDescent="0.3"/>
    <row r="150" s="4" customFormat="1" ht="14" x14ac:dyDescent="0.3"/>
    <row r="151" s="4" customFormat="1" ht="14" x14ac:dyDescent="0.3"/>
    <row r="152" s="4" customFormat="1" ht="14" x14ac:dyDescent="0.3"/>
    <row r="153" s="4" customFormat="1" ht="14" x14ac:dyDescent="0.3"/>
    <row r="154" s="4" customFormat="1" ht="14" x14ac:dyDescent="0.3"/>
    <row r="155" s="4" customFormat="1" ht="14" x14ac:dyDescent="0.3"/>
    <row r="156" s="4" customFormat="1" ht="14" x14ac:dyDescent="0.3"/>
    <row r="157" s="4" customFormat="1" ht="14" x14ac:dyDescent="0.3"/>
    <row r="158" s="4" customFormat="1" ht="14" x14ac:dyDescent="0.3"/>
    <row r="159" s="4" customFormat="1" ht="14" x14ac:dyDescent="0.3"/>
    <row r="160" s="4" customFormat="1" ht="14" x14ac:dyDescent="0.3"/>
    <row r="161" s="4" customFormat="1" ht="14" x14ac:dyDescent="0.3"/>
    <row r="162" s="4" customFormat="1" ht="14" x14ac:dyDescent="0.3"/>
    <row r="163" s="4" customFormat="1" ht="14" x14ac:dyDescent="0.3"/>
    <row r="164" s="4" customFormat="1" ht="14" x14ac:dyDescent="0.3"/>
    <row r="165" s="4" customFormat="1" ht="14" x14ac:dyDescent="0.3"/>
    <row r="166" s="4" customFormat="1" ht="14" x14ac:dyDescent="0.3"/>
    <row r="167" s="4" customFormat="1" ht="14" x14ac:dyDescent="0.3"/>
    <row r="168" s="4" customFormat="1" ht="14" x14ac:dyDescent="0.3"/>
    <row r="169" s="4" customFormat="1" ht="14" x14ac:dyDescent="0.3"/>
    <row r="170" s="4" customFormat="1" ht="14" x14ac:dyDescent="0.3"/>
    <row r="171" s="4" customFormat="1" ht="14" x14ac:dyDescent="0.3"/>
    <row r="172" s="4" customFormat="1" ht="14" x14ac:dyDescent="0.3"/>
    <row r="173" s="4" customFormat="1" ht="14" x14ac:dyDescent="0.3"/>
    <row r="174" s="4" customFormat="1" ht="14" x14ac:dyDescent="0.3"/>
    <row r="175" s="4" customFormat="1" ht="14" x14ac:dyDescent="0.3"/>
    <row r="176" s="4" customFormat="1" ht="14" x14ac:dyDescent="0.3"/>
    <row r="177" s="4" customFormat="1" ht="14" x14ac:dyDescent="0.3"/>
    <row r="178" s="4" customFormat="1" ht="14" x14ac:dyDescent="0.3"/>
    <row r="179" s="4" customFormat="1" ht="14" x14ac:dyDescent="0.3"/>
    <row r="180" s="4" customFormat="1" ht="14" x14ac:dyDescent="0.3"/>
    <row r="181" s="4" customFormat="1" ht="14" x14ac:dyDescent="0.3"/>
    <row r="182" s="4" customFormat="1" ht="14" x14ac:dyDescent="0.3"/>
    <row r="183" s="4" customFormat="1" ht="14" x14ac:dyDescent="0.3"/>
    <row r="184" s="4" customFormat="1" ht="14" x14ac:dyDescent="0.3"/>
    <row r="185" s="4" customFormat="1" ht="14" x14ac:dyDescent="0.3"/>
    <row r="186" s="4" customFormat="1" ht="14" x14ac:dyDescent="0.3"/>
    <row r="187" s="4" customFormat="1" ht="14" x14ac:dyDescent="0.3"/>
    <row r="188" s="4" customFormat="1" ht="14" x14ac:dyDescent="0.3"/>
    <row r="189" s="4" customFormat="1" ht="14" x14ac:dyDescent="0.3"/>
    <row r="190" s="4" customFormat="1" ht="14" x14ac:dyDescent="0.3"/>
    <row r="191" s="4" customFormat="1" ht="14" x14ac:dyDescent="0.3"/>
    <row r="192" s="4" customFormat="1" ht="14" x14ac:dyDescent="0.3"/>
    <row r="193" s="4" customFormat="1" ht="14" x14ac:dyDescent="0.3"/>
    <row r="194" s="4" customFormat="1" ht="14" x14ac:dyDescent="0.3"/>
    <row r="195" s="4" customFormat="1" ht="14" x14ac:dyDescent="0.3"/>
    <row r="196" s="4" customFormat="1" ht="14" x14ac:dyDescent="0.3"/>
    <row r="197" s="4" customFormat="1" ht="14" x14ac:dyDescent="0.3"/>
    <row r="198" s="4" customFormat="1" ht="14" x14ac:dyDescent="0.3"/>
    <row r="199" s="4" customFormat="1" ht="14" x14ac:dyDescent="0.3"/>
    <row r="200" s="4" customFormat="1" ht="14" x14ac:dyDescent="0.3"/>
    <row r="201" s="4" customFormat="1" ht="14" x14ac:dyDescent="0.3"/>
    <row r="202" s="4" customFormat="1" ht="14" x14ac:dyDescent="0.3"/>
    <row r="203" s="4" customFormat="1" ht="14" x14ac:dyDescent="0.3"/>
    <row r="204" s="4" customFormat="1" ht="14" x14ac:dyDescent="0.3"/>
    <row r="205" s="4" customFormat="1" ht="14" x14ac:dyDescent="0.3"/>
    <row r="206" s="4" customFormat="1" ht="14" x14ac:dyDescent="0.3"/>
    <row r="207" s="4" customFormat="1" ht="14" x14ac:dyDescent="0.3"/>
    <row r="208" s="4" customFormat="1" ht="14" x14ac:dyDescent="0.3"/>
    <row r="209" s="4" customFormat="1" ht="14" x14ac:dyDescent="0.3"/>
    <row r="210" s="4" customFormat="1" ht="14" x14ac:dyDescent="0.3"/>
    <row r="211" s="4" customFormat="1" ht="14" x14ac:dyDescent="0.3"/>
    <row r="212" s="4" customFormat="1" ht="14" x14ac:dyDescent="0.3"/>
    <row r="213" s="4" customFormat="1" ht="14" x14ac:dyDescent="0.3"/>
    <row r="214" s="4" customFormat="1" ht="14" x14ac:dyDescent="0.3"/>
    <row r="215" s="4" customFormat="1" ht="14" x14ac:dyDescent="0.3"/>
    <row r="216" s="4" customFormat="1" ht="14" x14ac:dyDescent="0.3"/>
    <row r="217" s="4" customFormat="1" ht="14" x14ac:dyDescent="0.3"/>
    <row r="218" s="4" customFormat="1" ht="14" x14ac:dyDescent="0.3"/>
    <row r="219" s="4" customFormat="1" ht="14" x14ac:dyDescent="0.3"/>
    <row r="220" s="4" customFormat="1" ht="14" x14ac:dyDescent="0.3"/>
    <row r="221" s="4" customFormat="1" ht="14" x14ac:dyDescent="0.3"/>
    <row r="222" s="4" customFormat="1" ht="14" x14ac:dyDescent="0.3"/>
    <row r="223" s="4" customFormat="1" ht="14" x14ac:dyDescent="0.3"/>
    <row r="224" s="4" customFormat="1" ht="14" x14ac:dyDescent="0.3"/>
    <row r="225" s="4" customFormat="1" ht="14" x14ac:dyDescent="0.3"/>
    <row r="226" s="4" customFormat="1" ht="14" x14ac:dyDescent="0.3"/>
    <row r="227" s="4" customFormat="1" ht="14" x14ac:dyDescent="0.3"/>
    <row r="228" s="4" customFormat="1" ht="14" x14ac:dyDescent="0.3"/>
    <row r="229" s="4" customFormat="1" ht="14" x14ac:dyDescent="0.3"/>
    <row r="230" s="4" customFormat="1" ht="14" x14ac:dyDescent="0.3"/>
    <row r="231" s="4" customFormat="1" ht="14" x14ac:dyDescent="0.3"/>
    <row r="232" s="4" customFormat="1" ht="14" x14ac:dyDescent="0.3"/>
    <row r="233" s="4" customFormat="1" ht="14" x14ac:dyDescent="0.3"/>
    <row r="234" s="4" customFormat="1" ht="14" x14ac:dyDescent="0.3"/>
    <row r="235" s="4" customFormat="1" ht="14" x14ac:dyDescent="0.3"/>
    <row r="236" s="4" customFormat="1" ht="14" x14ac:dyDescent="0.3"/>
    <row r="237" s="4" customFormat="1" ht="14" x14ac:dyDescent="0.3"/>
    <row r="238" s="4" customFormat="1" ht="14" x14ac:dyDescent="0.3"/>
    <row r="239" s="4" customFormat="1" ht="14" x14ac:dyDescent="0.3"/>
    <row r="240" s="4" customFormat="1" ht="14" x14ac:dyDescent="0.3"/>
    <row r="241" spans="1:2" s="4" customFormat="1" ht="14" x14ac:dyDescent="0.3"/>
    <row r="242" spans="1:2" s="4" customFormat="1" ht="14" x14ac:dyDescent="0.3"/>
    <row r="243" spans="1:2" s="4" customFormat="1" ht="14" x14ac:dyDescent="0.3"/>
    <row r="244" spans="1:2" s="4" customFormat="1" ht="14" x14ac:dyDescent="0.3"/>
    <row r="245" spans="1:2" s="4" customFormat="1" ht="14" x14ac:dyDescent="0.3"/>
    <row r="246" spans="1:2" s="4" customFormat="1" ht="14" x14ac:dyDescent="0.3"/>
    <row r="247" spans="1:2" s="4" customFormat="1" ht="14" x14ac:dyDescent="0.3"/>
    <row r="248" spans="1:2" s="4" customFormat="1" ht="14" x14ac:dyDescent="0.3"/>
    <row r="249" spans="1:2" s="4" customFormat="1" ht="14" x14ac:dyDescent="0.3"/>
    <row r="250" spans="1:2" s="4" customFormat="1" ht="14" x14ac:dyDescent="0.3"/>
    <row r="251" spans="1:2" s="4" customFormat="1" ht="14" x14ac:dyDescent="0.3"/>
    <row r="252" spans="1:2" s="4" customFormat="1" ht="14" x14ac:dyDescent="0.3"/>
    <row r="253" spans="1:2" s="4" customFormat="1" ht="14" x14ac:dyDescent="0.3"/>
    <row r="254" spans="1:2" s="4" customFormat="1" ht="14" x14ac:dyDescent="0.3"/>
    <row r="255" spans="1:2" s="4" customFormat="1" ht="14" x14ac:dyDescent="0.3"/>
    <row r="256" spans="1:2" ht="14" x14ac:dyDescent="0.3">
      <c r="A256" s="4"/>
      <c r="B256" s="4"/>
    </row>
  </sheetData>
  <pageMargins left="0.19685039370078741" right="0.75" top="0.55118110236220474" bottom="0.98425196850393704" header="0" footer="0"/>
  <pageSetup paperSize="9" scale="90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6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4" width="8.7265625" style="67" customWidth="1"/>
    <col min="5" max="5" width="1.7265625" style="67" customWidth="1"/>
    <col min="6" max="8" width="8.7265625" style="67" customWidth="1"/>
    <col min="9" max="9" width="1.7265625" style="67" customWidth="1"/>
    <col min="10" max="12" width="8.7265625" style="67" customWidth="1"/>
    <col min="13" max="256" width="11.453125" style="67"/>
    <col min="257" max="260" width="8.7265625" style="67" customWidth="1"/>
    <col min="261" max="261" width="1.7265625" style="67" customWidth="1"/>
    <col min="262" max="264" width="8.7265625" style="67" customWidth="1"/>
    <col min="265" max="265" width="1.7265625" style="67" customWidth="1"/>
    <col min="266" max="268" width="8.7265625" style="67" customWidth="1"/>
    <col min="269" max="512" width="11.453125" style="67"/>
    <col min="513" max="516" width="8.7265625" style="67" customWidth="1"/>
    <col min="517" max="517" width="1.7265625" style="67" customWidth="1"/>
    <col min="518" max="520" width="8.7265625" style="67" customWidth="1"/>
    <col min="521" max="521" width="1.7265625" style="67" customWidth="1"/>
    <col min="522" max="524" width="8.7265625" style="67" customWidth="1"/>
    <col min="525" max="768" width="11.453125" style="67"/>
    <col min="769" max="772" width="8.7265625" style="67" customWidth="1"/>
    <col min="773" max="773" width="1.7265625" style="67" customWidth="1"/>
    <col min="774" max="776" width="8.7265625" style="67" customWidth="1"/>
    <col min="777" max="777" width="1.7265625" style="67" customWidth="1"/>
    <col min="778" max="780" width="8.7265625" style="67" customWidth="1"/>
    <col min="781" max="1024" width="11.453125" style="67"/>
    <col min="1025" max="1028" width="8.7265625" style="67" customWidth="1"/>
    <col min="1029" max="1029" width="1.7265625" style="67" customWidth="1"/>
    <col min="1030" max="1032" width="8.7265625" style="67" customWidth="1"/>
    <col min="1033" max="1033" width="1.7265625" style="67" customWidth="1"/>
    <col min="1034" max="1036" width="8.7265625" style="67" customWidth="1"/>
    <col min="1037" max="1280" width="11.453125" style="67"/>
    <col min="1281" max="1284" width="8.7265625" style="67" customWidth="1"/>
    <col min="1285" max="1285" width="1.7265625" style="67" customWidth="1"/>
    <col min="1286" max="1288" width="8.7265625" style="67" customWidth="1"/>
    <col min="1289" max="1289" width="1.7265625" style="67" customWidth="1"/>
    <col min="1290" max="1292" width="8.7265625" style="67" customWidth="1"/>
    <col min="1293" max="1536" width="11.453125" style="67"/>
    <col min="1537" max="1540" width="8.7265625" style="67" customWidth="1"/>
    <col min="1541" max="1541" width="1.7265625" style="67" customWidth="1"/>
    <col min="1542" max="1544" width="8.7265625" style="67" customWidth="1"/>
    <col min="1545" max="1545" width="1.7265625" style="67" customWidth="1"/>
    <col min="1546" max="1548" width="8.7265625" style="67" customWidth="1"/>
    <col min="1549" max="1792" width="11.453125" style="67"/>
    <col min="1793" max="1796" width="8.7265625" style="67" customWidth="1"/>
    <col min="1797" max="1797" width="1.7265625" style="67" customWidth="1"/>
    <col min="1798" max="1800" width="8.7265625" style="67" customWidth="1"/>
    <col min="1801" max="1801" width="1.7265625" style="67" customWidth="1"/>
    <col min="1802" max="1804" width="8.7265625" style="67" customWidth="1"/>
    <col min="1805" max="2048" width="11.453125" style="67"/>
    <col min="2049" max="2052" width="8.7265625" style="67" customWidth="1"/>
    <col min="2053" max="2053" width="1.7265625" style="67" customWidth="1"/>
    <col min="2054" max="2056" width="8.7265625" style="67" customWidth="1"/>
    <col min="2057" max="2057" width="1.7265625" style="67" customWidth="1"/>
    <col min="2058" max="2060" width="8.7265625" style="67" customWidth="1"/>
    <col min="2061" max="2304" width="11.453125" style="67"/>
    <col min="2305" max="2308" width="8.7265625" style="67" customWidth="1"/>
    <col min="2309" max="2309" width="1.7265625" style="67" customWidth="1"/>
    <col min="2310" max="2312" width="8.7265625" style="67" customWidth="1"/>
    <col min="2313" max="2313" width="1.7265625" style="67" customWidth="1"/>
    <col min="2314" max="2316" width="8.7265625" style="67" customWidth="1"/>
    <col min="2317" max="2560" width="11.453125" style="67"/>
    <col min="2561" max="2564" width="8.7265625" style="67" customWidth="1"/>
    <col min="2565" max="2565" width="1.7265625" style="67" customWidth="1"/>
    <col min="2566" max="2568" width="8.7265625" style="67" customWidth="1"/>
    <col min="2569" max="2569" width="1.7265625" style="67" customWidth="1"/>
    <col min="2570" max="2572" width="8.7265625" style="67" customWidth="1"/>
    <col min="2573" max="2816" width="11.453125" style="67"/>
    <col min="2817" max="2820" width="8.7265625" style="67" customWidth="1"/>
    <col min="2821" max="2821" width="1.7265625" style="67" customWidth="1"/>
    <col min="2822" max="2824" width="8.7265625" style="67" customWidth="1"/>
    <col min="2825" max="2825" width="1.7265625" style="67" customWidth="1"/>
    <col min="2826" max="2828" width="8.7265625" style="67" customWidth="1"/>
    <col min="2829" max="3072" width="11.453125" style="67"/>
    <col min="3073" max="3076" width="8.7265625" style="67" customWidth="1"/>
    <col min="3077" max="3077" width="1.7265625" style="67" customWidth="1"/>
    <col min="3078" max="3080" width="8.7265625" style="67" customWidth="1"/>
    <col min="3081" max="3081" width="1.7265625" style="67" customWidth="1"/>
    <col min="3082" max="3084" width="8.7265625" style="67" customWidth="1"/>
    <col min="3085" max="3328" width="11.453125" style="67"/>
    <col min="3329" max="3332" width="8.7265625" style="67" customWidth="1"/>
    <col min="3333" max="3333" width="1.7265625" style="67" customWidth="1"/>
    <col min="3334" max="3336" width="8.7265625" style="67" customWidth="1"/>
    <col min="3337" max="3337" width="1.7265625" style="67" customWidth="1"/>
    <col min="3338" max="3340" width="8.7265625" style="67" customWidth="1"/>
    <col min="3341" max="3584" width="11.453125" style="67"/>
    <col min="3585" max="3588" width="8.7265625" style="67" customWidth="1"/>
    <col min="3589" max="3589" width="1.7265625" style="67" customWidth="1"/>
    <col min="3590" max="3592" width="8.7265625" style="67" customWidth="1"/>
    <col min="3593" max="3593" width="1.7265625" style="67" customWidth="1"/>
    <col min="3594" max="3596" width="8.7265625" style="67" customWidth="1"/>
    <col min="3597" max="3840" width="11.453125" style="67"/>
    <col min="3841" max="3844" width="8.7265625" style="67" customWidth="1"/>
    <col min="3845" max="3845" width="1.7265625" style="67" customWidth="1"/>
    <col min="3846" max="3848" width="8.7265625" style="67" customWidth="1"/>
    <col min="3849" max="3849" width="1.7265625" style="67" customWidth="1"/>
    <col min="3850" max="3852" width="8.7265625" style="67" customWidth="1"/>
    <col min="3853" max="4096" width="11.453125" style="67"/>
    <col min="4097" max="4100" width="8.7265625" style="67" customWidth="1"/>
    <col min="4101" max="4101" width="1.7265625" style="67" customWidth="1"/>
    <col min="4102" max="4104" width="8.7265625" style="67" customWidth="1"/>
    <col min="4105" max="4105" width="1.7265625" style="67" customWidth="1"/>
    <col min="4106" max="4108" width="8.7265625" style="67" customWidth="1"/>
    <col min="4109" max="4352" width="11.453125" style="67"/>
    <col min="4353" max="4356" width="8.7265625" style="67" customWidth="1"/>
    <col min="4357" max="4357" width="1.7265625" style="67" customWidth="1"/>
    <col min="4358" max="4360" width="8.7265625" style="67" customWidth="1"/>
    <col min="4361" max="4361" width="1.7265625" style="67" customWidth="1"/>
    <col min="4362" max="4364" width="8.7265625" style="67" customWidth="1"/>
    <col min="4365" max="4608" width="11.453125" style="67"/>
    <col min="4609" max="4612" width="8.7265625" style="67" customWidth="1"/>
    <col min="4613" max="4613" width="1.7265625" style="67" customWidth="1"/>
    <col min="4614" max="4616" width="8.7265625" style="67" customWidth="1"/>
    <col min="4617" max="4617" width="1.7265625" style="67" customWidth="1"/>
    <col min="4618" max="4620" width="8.7265625" style="67" customWidth="1"/>
    <col min="4621" max="4864" width="11.453125" style="67"/>
    <col min="4865" max="4868" width="8.7265625" style="67" customWidth="1"/>
    <col min="4869" max="4869" width="1.7265625" style="67" customWidth="1"/>
    <col min="4870" max="4872" width="8.7265625" style="67" customWidth="1"/>
    <col min="4873" max="4873" width="1.7265625" style="67" customWidth="1"/>
    <col min="4874" max="4876" width="8.7265625" style="67" customWidth="1"/>
    <col min="4877" max="5120" width="11.453125" style="67"/>
    <col min="5121" max="5124" width="8.7265625" style="67" customWidth="1"/>
    <col min="5125" max="5125" width="1.7265625" style="67" customWidth="1"/>
    <col min="5126" max="5128" width="8.7265625" style="67" customWidth="1"/>
    <col min="5129" max="5129" width="1.7265625" style="67" customWidth="1"/>
    <col min="5130" max="5132" width="8.7265625" style="67" customWidth="1"/>
    <col min="5133" max="5376" width="11.453125" style="67"/>
    <col min="5377" max="5380" width="8.7265625" style="67" customWidth="1"/>
    <col min="5381" max="5381" width="1.7265625" style="67" customWidth="1"/>
    <col min="5382" max="5384" width="8.7265625" style="67" customWidth="1"/>
    <col min="5385" max="5385" width="1.7265625" style="67" customWidth="1"/>
    <col min="5386" max="5388" width="8.7265625" style="67" customWidth="1"/>
    <col min="5389" max="5632" width="11.453125" style="67"/>
    <col min="5633" max="5636" width="8.7265625" style="67" customWidth="1"/>
    <col min="5637" max="5637" width="1.7265625" style="67" customWidth="1"/>
    <col min="5638" max="5640" width="8.7265625" style="67" customWidth="1"/>
    <col min="5641" max="5641" width="1.7265625" style="67" customWidth="1"/>
    <col min="5642" max="5644" width="8.7265625" style="67" customWidth="1"/>
    <col min="5645" max="5888" width="11.453125" style="67"/>
    <col min="5889" max="5892" width="8.7265625" style="67" customWidth="1"/>
    <col min="5893" max="5893" width="1.7265625" style="67" customWidth="1"/>
    <col min="5894" max="5896" width="8.7265625" style="67" customWidth="1"/>
    <col min="5897" max="5897" width="1.7265625" style="67" customWidth="1"/>
    <col min="5898" max="5900" width="8.7265625" style="67" customWidth="1"/>
    <col min="5901" max="6144" width="11.453125" style="67"/>
    <col min="6145" max="6148" width="8.7265625" style="67" customWidth="1"/>
    <col min="6149" max="6149" width="1.7265625" style="67" customWidth="1"/>
    <col min="6150" max="6152" width="8.7265625" style="67" customWidth="1"/>
    <col min="6153" max="6153" width="1.7265625" style="67" customWidth="1"/>
    <col min="6154" max="6156" width="8.7265625" style="67" customWidth="1"/>
    <col min="6157" max="6400" width="11.453125" style="67"/>
    <col min="6401" max="6404" width="8.7265625" style="67" customWidth="1"/>
    <col min="6405" max="6405" width="1.7265625" style="67" customWidth="1"/>
    <col min="6406" max="6408" width="8.7265625" style="67" customWidth="1"/>
    <col min="6409" max="6409" width="1.7265625" style="67" customWidth="1"/>
    <col min="6410" max="6412" width="8.7265625" style="67" customWidth="1"/>
    <col min="6413" max="6656" width="11.453125" style="67"/>
    <col min="6657" max="6660" width="8.7265625" style="67" customWidth="1"/>
    <col min="6661" max="6661" width="1.7265625" style="67" customWidth="1"/>
    <col min="6662" max="6664" width="8.7265625" style="67" customWidth="1"/>
    <col min="6665" max="6665" width="1.7265625" style="67" customWidth="1"/>
    <col min="6666" max="6668" width="8.7265625" style="67" customWidth="1"/>
    <col min="6669" max="6912" width="11.453125" style="67"/>
    <col min="6913" max="6916" width="8.7265625" style="67" customWidth="1"/>
    <col min="6917" max="6917" width="1.7265625" style="67" customWidth="1"/>
    <col min="6918" max="6920" width="8.7265625" style="67" customWidth="1"/>
    <col min="6921" max="6921" width="1.7265625" style="67" customWidth="1"/>
    <col min="6922" max="6924" width="8.7265625" style="67" customWidth="1"/>
    <col min="6925" max="7168" width="11.453125" style="67"/>
    <col min="7169" max="7172" width="8.7265625" style="67" customWidth="1"/>
    <col min="7173" max="7173" width="1.7265625" style="67" customWidth="1"/>
    <col min="7174" max="7176" width="8.7265625" style="67" customWidth="1"/>
    <col min="7177" max="7177" width="1.7265625" style="67" customWidth="1"/>
    <col min="7178" max="7180" width="8.7265625" style="67" customWidth="1"/>
    <col min="7181" max="7424" width="11.453125" style="67"/>
    <col min="7425" max="7428" width="8.7265625" style="67" customWidth="1"/>
    <col min="7429" max="7429" width="1.7265625" style="67" customWidth="1"/>
    <col min="7430" max="7432" width="8.7265625" style="67" customWidth="1"/>
    <col min="7433" max="7433" width="1.7265625" style="67" customWidth="1"/>
    <col min="7434" max="7436" width="8.7265625" style="67" customWidth="1"/>
    <col min="7437" max="7680" width="11.453125" style="67"/>
    <col min="7681" max="7684" width="8.7265625" style="67" customWidth="1"/>
    <col min="7685" max="7685" width="1.7265625" style="67" customWidth="1"/>
    <col min="7686" max="7688" width="8.7265625" style="67" customWidth="1"/>
    <col min="7689" max="7689" width="1.7265625" style="67" customWidth="1"/>
    <col min="7690" max="7692" width="8.7265625" style="67" customWidth="1"/>
    <col min="7693" max="7936" width="11.453125" style="67"/>
    <col min="7937" max="7940" width="8.7265625" style="67" customWidth="1"/>
    <col min="7941" max="7941" width="1.7265625" style="67" customWidth="1"/>
    <col min="7942" max="7944" width="8.7265625" style="67" customWidth="1"/>
    <col min="7945" max="7945" width="1.7265625" style="67" customWidth="1"/>
    <col min="7946" max="7948" width="8.7265625" style="67" customWidth="1"/>
    <col min="7949" max="8192" width="11.453125" style="67"/>
    <col min="8193" max="8196" width="8.7265625" style="67" customWidth="1"/>
    <col min="8197" max="8197" width="1.7265625" style="67" customWidth="1"/>
    <col min="8198" max="8200" width="8.7265625" style="67" customWidth="1"/>
    <col min="8201" max="8201" width="1.7265625" style="67" customWidth="1"/>
    <col min="8202" max="8204" width="8.7265625" style="67" customWidth="1"/>
    <col min="8205" max="8448" width="11.453125" style="67"/>
    <col min="8449" max="8452" width="8.7265625" style="67" customWidth="1"/>
    <col min="8453" max="8453" width="1.7265625" style="67" customWidth="1"/>
    <col min="8454" max="8456" width="8.7265625" style="67" customWidth="1"/>
    <col min="8457" max="8457" width="1.7265625" style="67" customWidth="1"/>
    <col min="8458" max="8460" width="8.7265625" style="67" customWidth="1"/>
    <col min="8461" max="8704" width="11.453125" style="67"/>
    <col min="8705" max="8708" width="8.7265625" style="67" customWidth="1"/>
    <col min="8709" max="8709" width="1.7265625" style="67" customWidth="1"/>
    <col min="8710" max="8712" width="8.7265625" style="67" customWidth="1"/>
    <col min="8713" max="8713" width="1.7265625" style="67" customWidth="1"/>
    <col min="8714" max="8716" width="8.7265625" style="67" customWidth="1"/>
    <col min="8717" max="8960" width="11.453125" style="67"/>
    <col min="8961" max="8964" width="8.7265625" style="67" customWidth="1"/>
    <col min="8965" max="8965" width="1.7265625" style="67" customWidth="1"/>
    <col min="8966" max="8968" width="8.7265625" style="67" customWidth="1"/>
    <col min="8969" max="8969" width="1.7265625" style="67" customWidth="1"/>
    <col min="8970" max="8972" width="8.7265625" style="67" customWidth="1"/>
    <col min="8973" max="9216" width="11.453125" style="67"/>
    <col min="9217" max="9220" width="8.7265625" style="67" customWidth="1"/>
    <col min="9221" max="9221" width="1.7265625" style="67" customWidth="1"/>
    <col min="9222" max="9224" width="8.7265625" style="67" customWidth="1"/>
    <col min="9225" max="9225" width="1.7265625" style="67" customWidth="1"/>
    <col min="9226" max="9228" width="8.7265625" style="67" customWidth="1"/>
    <col min="9229" max="9472" width="11.453125" style="67"/>
    <col min="9473" max="9476" width="8.7265625" style="67" customWidth="1"/>
    <col min="9477" max="9477" width="1.7265625" style="67" customWidth="1"/>
    <col min="9478" max="9480" width="8.7265625" style="67" customWidth="1"/>
    <col min="9481" max="9481" width="1.7265625" style="67" customWidth="1"/>
    <col min="9482" max="9484" width="8.7265625" style="67" customWidth="1"/>
    <col min="9485" max="9728" width="11.453125" style="67"/>
    <col min="9729" max="9732" width="8.7265625" style="67" customWidth="1"/>
    <col min="9733" max="9733" width="1.7265625" style="67" customWidth="1"/>
    <col min="9734" max="9736" width="8.7265625" style="67" customWidth="1"/>
    <col min="9737" max="9737" width="1.7265625" style="67" customWidth="1"/>
    <col min="9738" max="9740" width="8.7265625" style="67" customWidth="1"/>
    <col min="9741" max="9984" width="11.453125" style="67"/>
    <col min="9985" max="9988" width="8.7265625" style="67" customWidth="1"/>
    <col min="9989" max="9989" width="1.7265625" style="67" customWidth="1"/>
    <col min="9990" max="9992" width="8.7265625" style="67" customWidth="1"/>
    <col min="9993" max="9993" width="1.7265625" style="67" customWidth="1"/>
    <col min="9994" max="9996" width="8.7265625" style="67" customWidth="1"/>
    <col min="9997" max="10240" width="11.453125" style="67"/>
    <col min="10241" max="10244" width="8.7265625" style="67" customWidth="1"/>
    <col min="10245" max="10245" width="1.7265625" style="67" customWidth="1"/>
    <col min="10246" max="10248" width="8.7265625" style="67" customWidth="1"/>
    <col min="10249" max="10249" width="1.7265625" style="67" customWidth="1"/>
    <col min="10250" max="10252" width="8.7265625" style="67" customWidth="1"/>
    <col min="10253" max="10496" width="11.453125" style="67"/>
    <col min="10497" max="10500" width="8.7265625" style="67" customWidth="1"/>
    <col min="10501" max="10501" width="1.7265625" style="67" customWidth="1"/>
    <col min="10502" max="10504" width="8.7265625" style="67" customWidth="1"/>
    <col min="10505" max="10505" width="1.7265625" style="67" customWidth="1"/>
    <col min="10506" max="10508" width="8.7265625" style="67" customWidth="1"/>
    <col min="10509" max="10752" width="11.453125" style="67"/>
    <col min="10753" max="10756" width="8.7265625" style="67" customWidth="1"/>
    <col min="10757" max="10757" width="1.7265625" style="67" customWidth="1"/>
    <col min="10758" max="10760" width="8.7265625" style="67" customWidth="1"/>
    <col min="10761" max="10761" width="1.7265625" style="67" customWidth="1"/>
    <col min="10762" max="10764" width="8.7265625" style="67" customWidth="1"/>
    <col min="10765" max="11008" width="11.453125" style="67"/>
    <col min="11009" max="11012" width="8.7265625" style="67" customWidth="1"/>
    <col min="11013" max="11013" width="1.7265625" style="67" customWidth="1"/>
    <col min="11014" max="11016" width="8.7265625" style="67" customWidth="1"/>
    <col min="11017" max="11017" width="1.7265625" style="67" customWidth="1"/>
    <col min="11018" max="11020" width="8.7265625" style="67" customWidth="1"/>
    <col min="11021" max="11264" width="11.453125" style="67"/>
    <col min="11265" max="11268" width="8.7265625" style="67" customWidth="1"/>
    <col min="11269" max="11269" width="1.7265625" style="67" customWidth="1"/>
    <col min="11270" max="11272" width="8.7265625" style="67" customWidth="1"/>
    <col min="11273" max="11273" width="1.7265625" style="67" customWidth="1"/>
    <col min="11274" max="11276" width="8.7265625" style="67" customWidth="1"/>
    <col min="11277" max="11520" width="11.453125" style="67"/>
    <col min="11521" max="11524" width="8.7265625" style="67" customWidth="1"/>
    <col min="11525" max="11525" width="1.7265625" style="67" customWidth="1"/>
    <col min="11526" max="11528" width="8.7265625" style="67" customWidth="1"/>
    <col min="11529" max="11529" width="1.7265625" style="67" customWidth="1"/>
    <col min="11530" max="11532" width="8.7265625" style="67" customWidth="1"/>
    <col min="11533" max="11776" width="11.453125" style="67"/>
    <col min="11777" max="11780" width="8.7265625" style="67" customWidth="1"/>
    <col min="11781" max="11781" width="1.7265625" style="67" customWidth="1"/>
    <col min="11782" max="11784" width="8.7265625" style="67" customWidth="1"/>
    <col min="11785" max="11785" width="1.7265625" style="67" customWidth="1"/>
    <col min="11786" max="11788" width="8.7265625" style="67" customWidth="1"/>
    <col min="11789" max="12032" width="11.453125" style="67"/>
    <col min="12033" max="12036" width="8.7265625" style="67" customWidth="1"/>
    <col min="12037" max="12037" width="1.7265625" style="67" customWidth="1"/>
    <col min="12038" max="12040" width="8.7265625" style="67" customWidth="1"/>
    <col min="12041" max="12041" width="1.7265625" style="67" customWidth="1"/>
    <col min="12042" max="12044" width="8.7265625" style="67" customWidth="1"/>
    <col min="12045" max="12288" width="11.453125" style="67"/>
    <col min="12289" max="12292" width="8.7265625" style="67" customWidth="1"/>
    <col min="12293" max="12293" width="1.7265625" style="67" customWidth="1"/>
    <col min="12294" max="12296" width="8.7265625" style="67" customWidth="1"/>
    <col min="12297" max="12297" width="1.7265625" style="67" customWidth="1"/>
    <col min="12298" max="12300" width="8.7265625" style="67" customWidth="1"/>
    <col min="12301" max="12544" width="11.453125" style="67"/>
    <col min="12545" max="12548" width="8.7265625" style="67" customWidth="1"/>
    <col min="12549" max="12549" width="1.7265625" style="67" customWidth="1"/>
    <col min="12550" max="12552" width="8.7265625" style="67" customWidth="1"/>
    <col min="12553" max="12553" width="1.7265625" style="67" customWidth="1"/>
    <col min="12554" max="12556" width="8.7265625" style="67" customWidth="1"/>
    <col min="12557" max="12800" width="11.453125" style="67"/>
    <col min="12801" max="12804" width="8.7265625" style="67" customWidth="1"/>
    <col min="12805" max="12805" width="1.7265625" style="67" customWidth="1"/>
    <col min="12806" max="12808" width="8.7265625" style="67" customWidth="1"/>
    <col min="12809" max="12809" width="1.7265625" style="67" customWidth="1"/>
    <col min="12810" max="12812" width="8.7265625" style="67" customWidth="1"/>
    <col min="12813" max="13056" width="11.453125" style="67"/>
    <col min="13057" max="13060" width="8.7265625" style="67" customWidth="1"/>
    <col min="13061" max="13061" width="1.7265625" style="67" customWidth="1"/>
    <col min="13062" max="13064" width="8.7265625" style="67" customWidth="1"/>
    <col min="13065" max="13065" width="1.7265625" style="67" customWidth="1"/>
    <col min="13066" max="13068" width="8.7265625" style="67" customWidth="1"/>
    <col min="13069" max="13312" width="11.453125" style="67"/>
    <col min="13313" max="13316" width="8.7265625" style="67" customWidth="1"/>
    <col min="13317" max="13317" width="1.7265625" style="67" customWidth="1"/>
    <col min="13318" max="13320" width="8.7265625" style="67" customWidth="1"/>
    <col min="13321" max="13321" width="1.7265625" style="67" customWidth="1"/>
    <col min="13322" max="13324" width="8.7265625" style="67" customWidth="1"/>
    <col min="13325" max="13568" width="11.453125" style="67"/>
    <col min="13569" max="13572" width="8.7265625" style="67" customWidth="1"/>
    <col min="13573" max="13573" width="1.7265625" style="67" customWidth="1"/>
    <col min="13574" max="13576" width="8.7265625" style="67" customWidth="1"/>
    <col min="13577" max="13577" width="1.7265625" style="67" customWidth="1"/>
    <col min="13578" max="13580" width="8.7265625" style="67" customWidth="1"/>
    <col min="13581" max="13824" width="11.453125" style="67"/>
    <col min="13825" max="13828" width="8.7265625" style="67" customWidth="1"/>
    <col min="13829" max="13829" width="1.7265625" style="67" customWidth="1"/>
    <col min="13830" max="13832" width="8.7265625" style="67" customWidth="1"/>
    <col min="13833" max="13833" width="1.7265625" style="67" customWidth="1"/>
    <col min="13834" max="13836" width="8.7265625" style="67" customWidth="1"/>
    <col min="13837" max="14080" width="11.453125" style="67"/>
    <col min="14081" max="14084" width="8.7265625" style="67" customWidth="1"/>
    <col min="14085" max="14085" width="1.7265625" style="67" customWidth="1"/>
    <col min="14086" max="14088" width="8.7265625" style="67" customWidth="1"/>
    <col min="14089" max="14089" width="1.7265625" style="67" customWidth="1"/>
    <col min="14090" max="14092" width="8.7265625" style="67" customWidth="1"/>
    <col min="14093" max="14336" width="11.453125" style="67"/>
    <col min="14337" max="14340" width="8.7265625" style="67" customWidth="1"/>
    <col min="14341" max="14341" width="1.7265625" style="67" customWidth="1"/>
    <col min="14342" max="14344" width="8.7265625" style="67" customWidth="1"/>
    <col min="14345" max="14345" width="1.7265625" style="67" customWidth="1"/>
    <col min="14346" max="14348" width="8.7265625" style="67" customWidth="1"/>
    <col min="14349" max="14592" width="11.453125" style="67"/>
    <col min="14593" max="14596" width="8.7265625" style="67" customWidth="1"/>
    <col min="14597" max="14597" width="1.7265625" style="67" customWidth="1"/>
    <col min="14598" max="14600" width="8.7265625" style="67" customWidth="1"/>
    <col min="14601" max="14601" width="1.7265625" style="67" customWidth="1"/>
    <col min="14602" max="14604" width="8.7265625" style="67" customWidth="1"/>
    <col min="14605" max="14848" width="11.453125" style="67"/>
    <col min="14849" max="14852" width="8.7265625" style="67" customWidth="1"/>
    <col min="14853" max="14853" width="1.7265625" style="67" customWidth="1"/>
    <col min="14854" max="14856" width="8.7265625" style="67" customWidth="1"/>
    <col min="14857" max="14857" width="1.7265625" style="67" customWidth="1"/>
    <col min="14858" max="14860" width="8.7265625" style="67" customWidth="1"/>
    <col min="14861" max="15104" width="11.453125" style="67"/>
    <col min="15105" max="15108" width="8.7265625" style="67" customWidth="1"/>
    <col min="15109" max="15109" width="1.7265625" style="67" customWidth="1"/>
    <col min="15110" max="15112" width="8.7265625" style="67" customWidth="1"/>
    <col min="15113" max="15113" width="1.7265625" style="67" customWidth="1"/>
    <col min="15114" max="15116" width="8.7265625" style="67" customWidth="1"/>
    <col min="15117" max="15360" width="11.453125" style="67"/>
    <col min="15361" max="15364" width="8.7265625" style="67" customWidth="1"/>
    <col min="15365" max="15365" width="1.7265625" style="67" customWidth="1"/>
    <col min="15366" max="15368" width="8.7265625" style="67" customWidth="1"/>
    <col min="15369" max="15369" width="1.7265625" style="67" customWidth="1"/>
    <col min="15370" max="15372" width="8.7265625" style="67" customWidth="1"/>
    <col min="15373" max="15616" width="11.453125" style="67"/>
    <col min="15617" max="15620" width="8.7265625" style="67" customWidth="1"/>
    <col min="15621" max="15621" width="1.7265625" style="67" customWidth="1"/>
    <col min="15622" max="15624" width="8.7265625" style="67" customWidth="1"/>
    <col min="15625" max="15625" width="1.7265625" style="67" customWidth="1"/>
    <col min="15626" max="15628" width="8.7265625" style="67" customWidth="1"/>
    <col min="15629" max="15872" width="11.453125" style="67"/>
    <col min="15873" max="15876" width="8.7265625" style="67" customWidth="1"/>
    <col min="15877" max="15877" width="1.7265625" style="67" customWidth="1"/>
    <col min="15878" max="15880" width="8.7265625" style="67" customWidth="1"/>
    <col min="15881" max="15881" width="1.7265625" style="67" customWidth="1"/>
    <col min="15882" max="15884" width="8.7265625" style="67" customWidth="1"/>
    <col min="15885" max="16128" width="11.453125" style="67"/>
    <col min="16129" max="16132" width="8.7265625" style="67" customWidth="1"/>
    <col min="16133" max="16133" width="1.7265625" style="67" customWidth="1"/>
    <col min="16134" max="16136" width="8.7265625" style="67" customWidth="1"/>
    <col min="16137" max="16137" width="1.7265625" style="67" customWidth="1"/>
    <col min="16138" max="16140" width="8.7265625" style="67" customWidth="1"/>
    <col min="16141" max="16384" width="11.453125" style="67"/>
  </cols>
  <sheetData>
    <row r="1" spans="1:12" ht="14" x14ac:dyDescent="0.3">
      <c r="A1" s="6" t="s">
        <v>156</v>
      </c>
      <c r="B1" s="7"/>
      <c r="C1" s="7"/>
      <c r="D1" s="7"/>
      <c r="E1" s="8"/>
      <c r="F1" s="7"/>
      <c r="G1" s="7"/>
      <c r="H1" s="7"/>
      <c r="I1" s="8"/>
      <c r="J1" s="7"/>
      <c r="K1" s="7"/>
      <c r="L1" s="7"/>
    </row>
    <row r="2" spans="1:12" ht="14" x14ac:dyDescent="0.3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</row>
    <row r="3" spans="1:12" x14ac:dyDescent="0.25">
      <c r="A3" s="66"/>
      <c r="B3" s="61"/>
      <c r="C3" s="61"/>
      <c r="D3" s="61"/>
      <c r="E3" s="58"/>
      <c r="F3" s="61"/>
      <c r="G3" s="61"/>
      <c r="H3" s="61"/>
      <c r="I3" s="58"/>
      <c r="J3" s="61"/>
      <c r="K3" s="61"/>
      <c r="L3" s="61"/>
    </row>
    <row r="4" spans="1:12" x14ac:dyDescent="0.25">
      <c r="A4" s="74"/>
      <c r="B4" s="75" t="s">
        <v>34</v>
      </c>
      <c r="C4" s="75"/>
      <c r="D4" s="75"/>
      <c r="E4" s="76"/>
      <c r="F4" s="75" t="s">
        <v>49</v>
      </c>
      <c r="G4" s="75"/>
      <c r="H4" s="75"/>
      <c r="I4" s="76"/>
      <c r="J4" s="75" t="s">
        <v>55</v>
      </c>
      <c r="K4" s="75"/>
      <c r="L4" s="75"/>
    </row>
    <row r="5" spans="1:12" x14ac:dyDescent="0.25">
      <c r="A5" s="77"/>
      <c r="B5" s="78" t="s">
        <v>56</v>
      </c>
      <c r="C5" s="78" t="s">
        <v>57</v>
      </c>
      <c r="D5" s="78"/>
      <c r="E5" s="79"/>
      <c r="F5" s="78" t="s">
        <v>56</v>
      </c>
      <c r="G5" s="78" t="s">
        <v>57</v>
      </c>
      <c r="H5" s="78"/>
      <c r="I5" s="79"/>
      <c r="J5" s="78" t="s">
        <v>56</v>
      </c>
      <c r="K5" s="78" t="s">
        <v>57</v>
      </c>
      <c r="L5" s="78"/>
    </row>
    <row r="6" spans="1:12" x14ac:dyDescent="0.25">
      <c r="A6" s="22"/>
      <c r="B6" s="23" t="s">
        <v>58</v>
      </c>
      <c r="C6" s="23" t="s">
        <v>58</v>
      </c>
      <c r="D6" s="23" t="s">
        <v>35</v>
      </c>
      <c r="E6" s="25"/>
      <c r="F6" s="23" t="s">
        <v>58</v>
      </c>
      <c r="G6" s="23" t="s">
        <v>58</v>
      </c>
      <c r="H6" s="23" t="s">
        <v>35</v>
      </c>
      <c r="I6" s="25"/>
      <c r="J6" s="23" t="s">
        <v>58</v>
      </c>
      <c r="K6" s="23" t="s">
        <v>58</v>
      </c>
      <c r="L6" s="23" t="s">
        <v>35</v>
      </c>
    </row>
    <row r="7" spans="1:12" x14ac:dyDescent="0.25">
      <c r="A7" s="27"/>
      <c r="B7" s="61"/>
      <c r="C7" s="61"/>
      <c r="D7" s="61"/>
      <c r="E7" s="58"/>
      <c r="F7" s="61"/>
      <c r="G7" s="61"/>
      <c r="H7" s="61"/>
      <c r="I7" s="58"/>
      <c r="J7" s="61"/>
      <c r="K7" s="61"/>
      <c r="L7" s="61"/>
    </row>
    <row r="8" spans="1:12" hidden="1" x14ac:dyDescent="0.25">
      <c r="A8" s="31">
        <v>1986</v>
      </c>
      <c r="B8" s="64">
        <v>519</v>
      </c>
      <c r="C8" s="64">
        <v>1707</v>
      </c>
      <c r="D8" s="64">
        <v>2226</v>
      </c>
      <c r="E8" s="53"/>
      <c r="F8" s="64">
        <v>8538</v>
      </c>
      <c r="G8" s="64">
        <v>229431</v>
      </c>
      <c r="H8" s="64">
        <v>237969</v>
      </c>
      <c r="I8" s="53"/>
      <c r="J8" s="64">
        <v>16</v>
      </c>
      <c r="K8" s="32" t="s">
        <v>52</v>
      </c>
      <c r="L8" s="64">
        <v>16</v>
      </c>
    </row>
    <row r="9" spans="1:12" x14ac:dyDescent="0.25">
      <c r="A9" s="31">
        <v>1987</v>
      </c>
      <c r="B9" s="64">
        <v>124</v>
      </c>
      <c r="C9" s="64">
        <v>2572</v>
      </c>
      <c r="D9" s="64">
        <v>2696</v>
      </c>
      <c r="E9" s="53"/>
      <c r="F9" s="64">
        <v>1572</v>
      </c>
      <c r="G9" s="64">
        <v>338454</v>
      </c>
      <c r="H9" s="64">
        <v>340026</v>
      </c>
      <c r="I9" s="53"/>
      <c r="J9" s="64">
        <v>2</v>
      </c>
      <c r="K9" s="32">
        <v>0</v>
      </c>
      <c r="L9" s="64">
        <v>2</v>
      </c>
    </row>
    <row r="10" spans="1:12" x14ac:dyDescent="0.25">
      <c r="A10" s="36">
        <v>1988</v>
      </c>
      <c r="B10" s="37">
        <v>0</v>
      </c>
      <c r="C10" s="195">
        <v>2701</v>
      </c>
      <c r="D10" s="195">
        <v>2701</v>
      </c>
      <c r="E10" s="80"/>
      <c r="F10" s="37">
        <v>0</v>
      </c>
      <c r="G10" s="195">
        <v>391015</v>
      </c>
      <c r="H10" s="195">
        <v>391015</v>
      </c>
      <c r="I10" s="80"/>
      <c r="J10" s="37">
        <v>0</v>
      </c>
      <c r="K10" s="37">
        <v>0</v>
      </c>
      <c r="L10" s="37">
        <v>0</v>
      </c>
    </row>
    <row r="11" spans="1:12" x14ac:dyDescent="0.25">
      <c r="A11" s="31">
        <v>1989</v>
      </c>
      <c r="B11" s="32">
        <v>0</v>
      </c>
      <c r="C11" s="64">
        <v>2336</v>
      </c>
      <c r="D11" s="64">
        <v>2336</v>
      </c>
      <c r="E11" s="53"/>
      <c r="F11" s="32">
        <v>0</v>
      </c>
      <c r="G11" s="64">
        <v>276473</v>
      </c>
      <c r="H11" s="32">
        <v>0</v>
      </c>
      <c r="I11" s="53"/>
      <c r="J11" s="32">
        <v>0</v>
      </c>
      <c r="K11" s="32">
        <v>0</v>
      </c>
      <c r="L11" s="32">
        <v>0</v>
      </c>
    </row>
    <row r="12" spans="1:12" x14ac:dyDescent="0.25">
      <c r="A12" s="36">
        <v>1990</v>
      </c>
      <c r="B12" s="37">
        <v>0</v>
      </c>
      <c r="C12" s="195">
        <v>1025</v>
      </c>
      <c r="D12" s="195">
        <v>1025</v>
      </c>
      <c r="E12" s="80"/>
      <c r="F12" s="37">
        <v>0</v>
      </c>
      <c r="G12" s="195">
        <v>89030</v>
      </c>
      <c r="H12" s="195">
        <v>89030</v>
      </c>
      <c r="I12" s="80"/>
      <c r="J12" s="37">
        <v>0</v>
      </c>
      <c r="K12" s="195">
        <v>16</v>
      </c>
      <c r="L12" s="195">
        <v>16</v>
      </c>
    </row>
    <row r="13" spans="1:12" x14ac:dyDescent="0.25">
      <c r="A13" s="31">
        <v>1991</v>
      </c>
      <c r="B13" s="32">
        <v>0</v>
      </c>
      <c r="C13" s="64">
        <v>975</v>
      </c>
      <c r="D13" s="64">
        <v>975</v>
      </c>
      <c r="E13" s="53"/>
      <c r="F13" s="32">
        <v>0</v>
      </c>
      <c r="G13" s="64">
        <v>91730</v>
      </c>
      <c r="H13" s="64">
        <v>91730</v>
      </c>
      <c r="I13" s="53"/>
      <c r="J13" s="32">
        <v>0</v>
      </c>
      <c r="K13" s="64">
        <v>1</v>
      </c>
      <c r="L13" s="64">
        <v>1</v>
      </c>
    </row>
    <row r="14" spans="1:12" x14ac:dyDescent="0.25">
      <c r="A14" s="36">
        <v>1992</v>
      </c>
      <c r="B14" s="37">
        <v>0</v>
      </c>
      <c r="C14" s="195">
        <v>966</v>
      </c>
      <c r="D14" s="195">
        <v>966</v>
      </c>
      <c r="E14" s="80"/>
      <c r="F14" s="37">
        <v>0</v>
      </c>
      <c r="G14" s="195">
        <v>99994</v>
      </c>
      <c r="H14" s="195">
        <v>99994</v>
      </c>
      <c r="I14" s="80"/>
      <c r="J14" s="37">
        <v>0</v>
      </c>
      <c r="K14" s="195">
        <v>10</v>
      </c>
      <c r="L14" s="195">
        <v>10</v>
      </c>
    </row>
    <row r="15" spans="1:12" x14ac:dyDescent="0.25">
      <c r="A15" s="31">
        <v>1993</v>
      </c>
      <c r="B15" s="32">
        <v>0</v>
      </c>
      <c r="C15" s="64">
        <v>794</v>
      </c>
      <c r="D15" s="64">
        <v>794</v>
      </c>
      <c r="E15" s="53"/>
      <c r="F15" s="32">
        <v>0</v>
      </c>
      <c r="G15" s="64">
        <v>103136</v>
      </c>
      <c r="H15" s="64">
        <v>103136</v>
      </c>
      <c r="I15" s="53"/>
      <c r="J15" s="32">
        <v>0</v>
      </c>
      <c r="K15" s="32">
        <v>0</v>
      </c>
      <c r="L15" s="32">
        <v>0</v>
      </c>
    </row>
    <row r="16" spans="1:12" x14ac:dyDescent="0.25">
      <c r="A16" s="36">
        <v>1994</v>
      </c>
      <c r="B16" s="37">
        <v>4</v>
      </c>
      <c r="C16" s="195">
        <v>1916</v>
      </c>
      <c r="D16" s="195">
        <v>1920</v>
      </c>
      <c r="E16" s="80"/>
      <c r="F16" s="37">
        <v>0</v>
      </c>
      <c r="G16" s="195">
        <v>315305</v>
      </c>
      <c r="H16" s="195">
        <v>315305</v>
      </c>
      <c r="I16" s="80"/>
      <c r="J16" s="37">
        <v>0</v>
      </c>
      <c r="K16" s="37">
        <v>0</v>
      </c>
      <c r="L16" s="37">
        <v>0</v>
      </c>
    </row>
    <row r="17" spans="1:12" x14ac:dyDescent="0.25">
      <c r="A17" s="31">
        <v>1995</v>
      </c>
      <c r="B17" s="32">
        <v>890</v>
      </c>
      <c r="C17" s="64">
        <v>3253</v>
      </c>
      <c r="D17" s="64">
        <v>4143</v>
      </c>
      <c r="E17" s="53"/>
      <c r="F17" s="32">
        <v>16738</v>
      </c>
      <c r="G17" s="64">
        <v>458045</v>
      </c>
      <c r="H17" s="64">
        <v>474783</v>
      </c>
      <c r="I17" s="53"/>
      <c r="J17" s="32">
        <v>0</v>
      </c>
      <c r="K17" s="32">
        <v>0</v>
      </c>
      <c r="L17" s="32">
        <v>0</v>
      </c>
    </row>
    <row r="18" spans="1:12" x14ac:dyDescent="0.25">
      <c r="A18" s="36">
        <v>1996</v>
      </c>
      <c r="B18" s="37">
        <v>1084</v>
      </c>
      <c r="C18" s="195">
        <v>2810</v>
      </c>
      <c r="D18" s="195">
        <v>3894</v>
      </c>
      <c r="E18" s="80"/>
      <c r="F18" s="37">
        <v>24935</v>
      </c>
      <c r="G18" s="195">
        <v>425493</v>
      </c>
      <c r="H18" s="195">
        <v>450428</v>
      </c>
      <c r="I18" s="80"/>
      <c r="J18" s="37">
        <v>0</v>
      </c>
      <c r="K18" s="37">
        <v>65</v>
      </c>
      <c r="L18" s="37">
        <v>65</v>
      </c>
    </row>
    <row r="19" spans="1:12" x14ac:dyDescent="0.25">
      <c r="A19" s="31">
        <v>1997</v>
      </c>
      <c r="B19" s="32">
        <f>1138+58</f>
        <v>1196</v>
      </c>
      <c r="C19" s="64">
        <f>137+2785</f>
        <v>2922</v>
      </c>
      <c r="D19" s="64">
        <f t="shared" ref="D19:D32" si="0">B19+C19</f>
        <v>4118</v>
      </c>
      <c r="E19" s="53"/>
      <c r="F19" s="32">
        <f>30592+1691</f>
        <v>32283</v>
      </c>
      <c r="G19" s="64">
        <f>489+484964</f>
        <v>485453</v>
      </c>
      <c r="H19" s="64">
        <f t="shared" ref="H19:H34" si="1">F19+G19</f>
        <v>517736</v>
      </c>
      <c r="I19" s="53"/>
      <c r="J19" s="32">
        <v>20</v>
      </c>
      <c r="K19" s="32">
        <v>0</v>
      </c>
      <c r="L19" s="32">
        <v>20</v>
      </c>
    </row>
    <row r="20" spans="1:12" x14ac:dyDescent="0.25">
      <c r="A20" s="36">
        <v>1998</v>
      </c>
      <c r="B20" s="37">
        <f>926+115</f>
        <v>1041</v>
      </c>
      <c r="C20" s="195">
        <f>82+3056</f>
        <v>3138</v>
      </c>
      <c r="D20" s="195">
        <f t="shared" si="0"/>
        <v>4179</v>
      </c>
      <c r="E20" s="80"/>
      <c r="F20" s="37">
        <f>24738+8288</f>
        <v>33026</v>
      </c>
      <c r="G20" s="195">
        <f>1011+522409</f>
        <v>523420</v>
      </c>
      <c r="H20" s="195">
        <f t="shared" si="1"/>
        <v>556446</v>
      </c>
      <c r="I20" s="80"/>
      <c r="J20" s="37">
        <f>0</f>
        <v>0</v>
      </c>
      <c r="K20" s="37">
        <v>1</v>
      </c>
      <c r="L20" s="37">
        <f t="shared" ref="L20:L25" si="2">SUM(J20:K20)</f>
        <v>1</v>
      </c>
    </row>
    <row r="21" spans="1:12" x14ac:dyDescent="0.25">
      <c r="A21" s="31">
        <v>1999</v>
      </c>
      <c r="B21" s="32">
        <f>903+187</f>
        <v>1090</v>
      </c>
      <c r="C21" s="64">
        <f>117+3232</f>
        <v>3349</v>
      </c>
      <c r="D21" s="64">
        <f t="shared" si="0"/>
        <v>4439</v>
      </c>
      <c r="E21" s="53"/>
      <c r="F21" s="32">
        <f>24694+19137</f>
        <v>43831</v>
      </c>
      <c r="G21" s="64">
        <f>1444+572144</f>
        <v>573588</v>
      </c>
      <c r="H21" s="64">
        <f t="shared" si="1"/>
        <v>617419</v>
      </c>
      <c r="I21" s="53"/>
      <c r="J21" s="32">
        <v>0</v>
      </c>
      <c r="K21" s="32">
        <v>0</v>
      </c>
      <c r="L21" s="32">
        <f t="shared" si="2"/>
        <v>0</v>
      </c>
    </row>
    <row r="22" spans="1:12" x14ac:dyDescent="0.25">
      <c r="A22" s="36">
        <v>2000</v>
      </c>
      <c r="B22" s="80">
        <f>975+338</f>
        <v>1313</v>
      </c>
      <c r="C22" s="80">
        <f>111+3520</f>
        <v>3631</v>
      </c>
      <c r="D22" s="195">
        <f t="shared" si="0"/>
        <v>4944</v>
      </c>
      <c r="E22" s="173"/>
      <c r="F22" s="80">
        <f>23874+34858</f>
        <v>58732</v>
      </c>
      <c r="G22" s="80">
        <f>923+626627</f>
        <v>627550</v>
      </c>
      <c r="H22" s="195">
        <f t="shared" si="1"/>
        <v>686282</v>
      </c>
      <c r="I22" s="173"/>
      <c r="J22" s="80">
        <f>0.795</f>
        <v>0.79500000000000004</v>
      </c>
      <c r="K22" s="80">
        <f>14.531</f>
        <v>14.531000000000001</v>
      </c>
      <c r="L22" s="37">
        <f t="shared" si="2"/>
        <v>15.326000000000001</v>
      </c>
    </row>
    <row r="23" spans="1:12" x14ac:dyDescent="0.25">
      <c r="A23" s="31">
        <v>2001</v>
      </c>
      <c r="B23" s="33">
        <f>963+306</f>
        <v>1269</v>
      </c>
      <c r="C23" s="33">
        <f>74+3732</f>
        <v>3806</v>
      </c>
      <c r="D23" s="64">
        <f t="shared" si="0"/>
        <v>5075</v>
      </c>
      <c r="E23" s="33"/>
      <c r="F23" s="33">
        <f>21989+31642</f>
        <v>53631</v>
      </c>
      <c r="G23" s="33">
        <f>661+678741</f>
        <v>679402</v>
      </c>
      <c r="H23" s="64">
        <f t="shared" si="1"/>
        <v>733033</v>
      </c>
      <c r="I23" s="33"/>
      <c r="J23" s="33">
        <f>0.566+0.008</f>
        <v>0.57399999999999995</v>
      </c>
      <c r="K23" s="33">
        <f>0+6.129</f>
        <v>6.1289999999999996</v>
      </c>
      <c r="L23" s="32">
        <f t="shared" si="2"/>
        <v>6.7029999999999994</v>
      </c>
    </row>
    <row r="24" spans="1:12" x14ac:dyDescent="0.25">
      <c r="A24" s="36">
        <v>2002</v>
      </c>
      <c r="B24" s="39">
        <f>960+251</f>
        <v>1211</v>
      </c>
      <c r="C24" s="39">
        <f>149+3869</f>
        <v>4018</v>
      </c>
      <c r="D24" s="195">
        <f t="shared" si="0"/>
        <v>5229</v>
      </c>
      <c r="E24" s="39"/>
      <c r="F24" s="39">
        <f>21775+30199</f>
        <v>51974</v>
      </c>
      <c r="G24" s="39">
        <f>793+700737</f>
        <v>701530</v>
      </c>
      <c r="H24" s="195">
        <f t="shared" si="1"/>
        <v>753504</v>
      </c>
      <c r="I24" s="39"/>
      <c r="J24" s="39">
        <f>0.676+0.814</f>
        <v>1.49</v>
      </c>
      <c r="K24" s="39">
        <f>6.808</f>
        <v>6.8079999999999998</v>
      </c>
      <c r="L24" s="37">
        <f t="shared" si="2"/>
        <v>8.298</v>
      </c>
    </row>
    <row r="25" spans="1:12" x14ac:dyDescent="0.25">
      <c r="A25" s="31">
        <v>2003</v>
      </c>
      <c r="B25" s="53">
        <f>895+1139</f>
        <v>2034</v>
      </c>
      <c r="C25" s="53">
        <f>136+3729</f>
        <v>3865</v>
      </c>
      <c r="D25" s="64">
        <f t="shared" si="0"/>
        <v>5899</v>
      </c>
      <c r="E25" s="53"/>
      <c r="F25" s="53">
        <f>22535+96249</f>
        <v>118784</v>
      </c>
      <c r="G25" s="53">
        <f>1399+717380</f>
        <v>718779</v>
      </c>
      <c r="H25" s="64">
        <f t="shared" si="1"/>
        <v>837563</v>
      </c>
      <c r="I25" s="53"/>
      <c r="J25" s="53">
        <f>0.486+0.24</f>
        <v>0.72599999999999998</v>
      </c>
      <c r="K25" s="53">
        <v>3.5590000000000002</v>
      </c>
      <c r="L25" s="32">
        <f t="shared" si="2"/>
        <v>4.2850000000000001</v>
      </c>
    </row>
    <row r="26" spans="1:12" x14ac:dyDescent="0.25">
      <c r="A26" s="36">
        <v>2004</v>
      </c>
      <c r="B26" s="80">
        <f>859+2756</f>
        <v>3615</v>
      </c>
      <c r="C26" s="80">
        <f>98+3862</f>
        <v>3960</v>
      </c>
      <c r="D26" s="195">
        <f t="shared" si="0"/>
        <v>7575</v>
      </c>
      <c r="E26" s="80"/>
      <c r="F26" s="80">
        <f>21701+370786</f>
        <v>392487</v>
      </c>
      <c r="G26" s="80">
        <f>566+734117</f>
        <v>734683</v>
      </c>
      <c r="H26" s="195">
        <f t="shared" si="1"/>
        <v>1127170</v>
      </c>
      <c r="I26" s="80"/>
      <c r="J26" s="80">
        <f>0.148</f>
        <v>0.14799999999999999</v>
      </c>
      <c r="K26" s="80">
        <f>11.06</f>
        <v>11.06</v>
      </c>
      <c r="L26" s="37">
        <f t="shared" ref="L26:L35" si="3">SUM(J26:K26)</f>
        <v>11.208</v>
      </c>
    </row>
    <row r="27" spans="1:12" x14ac:dyDescent="0.25">
      <c r="A27" s="31">
        <v>2005</v>
      </c>
      <c r="B27" s="53">
        <f>1153+3994</f>
        <v>5147</v>
      </c>
      <c r="C27" s="53">
        <f>95+4328</f>
        <v>4423</v>
      </c>
      <c r="D27" s="64">
        <f t="shared" si="0"/>
        <v>9570</v>
      </c>
      <c r="E27" s="53"/>
      <c r="F27" s="53">
        <f>45324+577795</f>
        <v>623119</v>
      </c>
      <c r="G27" s="53">
        <f>1926+726563</f>
        <v>728489</v>
      </c>
      <c r="H27" s="64">
        <f t="shared" si="1"/>
        <v>1351608</v>
      </c>
      <c r="I27" s="53"/>
      <c r="J27" s="53">
        <v>3.0000000000000001E-3</v>
      </c>
      <c r="K27" s="53">
        <v>16.309999999999999</v>
      </c>
      <c r="L27" s="32">
        <f t="shared" si="3"/>
        <v>16.312999999999999</v>
      </c>
    </row>
    <row r="28" spans="1:12" x14ac:dyDescent="0.25">
      <c r="A28" s="36">
        <v>2006</v>
      </c>
      <c r="B28" s="80">
        <f>913+4224</f>
        <v>5137</v>
      </c>
      <c r="C28" s="80">
        <f>150+4013</f>
        <v>4163</v>
      </c>
      <c r="D28" s="195">
        <f t="shared" si="0"/>
        <v>9300</v>
      </c>
      <c r="E28" s="80"/>
      <c r="F28" s="80">
        <f>24166+642682</f>
        <v>666848</v>
      </c>
      <c r="G28" s="80">
        <f>3159+700848</f>
        <v>704007</v>
      </c>
      <c r="H28" s="195">
        <f t="shared" si="1"/>
        <v>1370855</v>
      </c>
      <c r="I28" s="80"/>
      <c r="J28" s="80">
        <f>0.032+0</f>
        <v>3.2000000000000001E-2</v>
      </c>
      <c r="K28" s="80">
        <f>0+5.899</f>
        <v>5.899</v>
      </c>
      <c r="L28" s="37">
        <f t="shared" si="3"/>
        <v>5.931</v>
      </c>
    </row>
    <row r="29" spans="1:12" x14ac:dyDescent="0.25">
      <c r="A29" s="31">
        <v>2007</v>
      </c>
      <c r="B29" s="53">
        <v>4320</v>
      </c>
      <c r="C29" s="53">
        <v>4063</v>
      </c>
      <c r="D29" s="64">
        <f t="shared" si="0"/>
        <v>8383</v>
      </c>
      <c r="E29" s="53"/>
      <c r="F29" s="53">
        <v>613300</v>
      </c>
      <c r="G29" s="53">
        <v>681581</v>
      </c>
      <c r="H29" s="64">
        <f t="shared" si="1"/>
        <v>1294881</v>
      </c>
      <c r="I29" s="53"/>
      <c r="J29" s="53">
        <v>0</v>
      </c>
      <c r="K29" s="53">
        <v>11.212999999999999</v>
      </c>
      <c r="L29" s="32">
        <f t="shared" si="3"/>
        <v>11.212999999999999</v>
      </c>
    </row>
    <row r="30" spans="1:12" x14ac:dyDescent="0.25">
      <c r="A30" s="36">
        <v>2008</v>
      </c>
      <c r="B30" s="80">
        <v>4399</v>
      </c>
      <c r="C30" s="80">
        <v>3850</v>
      </c>
      <c r="D30" s="195">
        <f t="shared" si="0"/>
        <v>8249</v>
      </c>
      <c r="E30" s="80"/>
      <c r="F30" s="80">
        <v>624801</v>
      </c>
      <c r="G30" s="80">
        <v>643191</v>
      </c>
      <c r="H30" s="195">
        <f t="shared" si="1"/>
        <v>1267992</v>
      </c>
      <c r="I30" s="80"/>
      <c r="J30" s="80">
        <v>0</v>
      </c>
      <c r="K30" s="80">
        <v>112</v>
      </c>
      <c r="L30" s="37">
        <f t="shared" si="3"/>
        <v>112</v>
      </c>
    </row>
    <row r="31" spans="1:12" x14ac:dyDescent="0.25">
      <c r="A31" s="31">
        <v>2009</v>
      </c>
      <c r="B31" s="53">
        <v>9024</v>
      </c>
      <c r="C31" s="53">
        <v>2929</v>
      </c>
      <c r="D31" s="64">
        <f t="shared" si="0"/>
        <v>11953</v>
      </c>
      <c r="E31" s="53"/>
      <c r="F31" s="53">
        <v>1202132</v>
      </c>
      <c r="G31" s="53">
        <v>487132</v>
      </c>
      <c r="H31" s="64">
        <f t="shared" si="1"/>
        <v>1689264</v>
      </c>
      <c r="I31" s="53"/>
      <c r="J31" s="53">
        <v>1</v>
      </c>
      <c r="K31" s="53">
        <v>1.38</v>
      </c>
      <c r="L31" s="32">
        <f t="shared" si="3"/>
        <v>2.38</v>
      </c>
    </row>
    <row r="32" spans="1:12" x14ac:dyDescent="0.25">
      <c r="A32" s="36">
        <v>2010</v>
      </c>
      <c r="B32" s="80">
        <v>7318</v>
      </c>
      <c r="C32" s="80">
        <v>19204</v>
      </c>
      <c r="D32" s="195">
        <f t="shared" si="0"/>
        <v>26522</v>
      </c>
      <c r="E32" s="80"/>
      <c r="F32" s="80">
        <v>1020206</v>
      </c>
      <c r="G32" s="80">
        <v>401135</v>
      </c>
      <c r="H32" s="195">
        <f t="shared" si="1"/>
        <v>1421341</v>
      </c>
      <c r="I32" s="80"/>
      <c r="J32" s="80">
        <v>0</v>
      </c>
      <c r="K32" s="80">
        <v>245</v>
      </c>
      <c r="L32" s="37">
        <f t="shared" si="3"/>
        <v>245</v>
      </c>
    </row>
    <row r="33" spans="1:12" x14ac:dyDescent="0.25">
      <c r="A33" s="31">
        <v>2011</v>
      </c>
      <c r="B33" s="53">
        <v>7178</v>
      </c>
      <c r="C33" s="53">
        <f t="shared" ref="C33:C41" si="4">D33-B33</f>
        <v>14316</v>
      </c>
      <c r="D33" s="64">
        <v>21494</v>
      </c>
      <c r="E33" s="53"/>
      <c r="F33" s="53">
        <v>972084</v>
      </c>
      <c r="G33" s="53">
        <v>380824</v>
      </c>
      <c r="H33" s="64">
        <f t="shared" si="1"/>
        <v>1352908</v>
      </c>
      <c r="I33" s="53"/>
      <c r="J33" s="53">
        <v>0</v>
      </c>
      <c r="K33" s="53">
        <v>34.817999999999998</v>
      </c>
      <c r="L33" s="32">
        <f t="shared" si="3"/>
        <v>34.817999999999998</v>
      </c>
    </row>
    <row r="34" spans="1:12" x14ac:dyDescent="0.25">
      <c r="A34" s="36">
        <v>2012</v>
      </c>
      <c r="B34" s="80">
        <v>4106</v>
      </c>
      <c r="C34" s="80">
        <f t="shared" si="4"/>
        <v>12005</v>
      </c>
      <c r="D34" s="195">
        <v>16111</v>
      </c>
      <c r="E34" s="80"/>
      <c r="F34" s="80">
        <v>590216</v>
      </c>
      <c r="G34" s="80">
        <v>336484</v>
      </c>
      <c r="H34" s="195">
        <f t="shared" si="1"/>
        <v>926700</v>
      </c>
      <c r="I34" s="80"/>
      <c r="J34" s="80">
        <v>0</v>
      </c>
      <c r="K34" s="80">
        <v>15.186</v>
      </c>
      <c r="L34" s="37">
        <f t="shared" si="3"/>
        <v>15.186</v>
      </c>
    </row>
    <row r="35" spans="1:12" x14ac:dyDescent="0.25">
      <c r="A35" s="31">
        <v>2013</v>
      </c>
      <c r="B35" s="53">
        <v>4946</v>
      </c>
      <c r="C35" s="53">
        <f t="shared" si="4"/>
        <v>12031</v>
      </c>
      <c r="D35" s="64">
        <v>16977</v>
      </c>
      <c r="E35" s="53"/>
      <c r="F35" s="53">
        <v>674385</v>
      </c>
      <c r="G35" s="53">
        <f t="shared" ref="G35:G41" si="5">H35-F35</f>
        <v>296781</v>
      </c>
      <c r="H35" s="64">
        <v>971166</v>
      </c>
      <c r="I35" s="53"/>
      <c r="J35" s="53">
        <v>0</v>
      </c>
      <c r="K35" s="53">
        <v>0.06</v>
      </c>
      <c r="L35" s="32">
        <f t="shared" si="3"/>
        <v>0.06</v>
      </c>
    </row>
    <row r="36" spans="1:12" x14ac:dyDescent="0.25">
      <c r="A36" s="36">
        <v>2014</v>
      </c>
      <c r="B36" s="80">
        <v>3795</v>
      </c>
      <c r="C36" s="80">
        <f t="shared" si="4"/>
        <v>12191</v>
      </c>
      <c r="D36" s="195">
        <v>15986</v>
      </c>
      <c r="E36" s="80"/>
      <c r="F36" s="80">
        <v>551244</v>
      </c>
      <c r="G36" s="80">
        <f t="shared" si="5"/>
        <v>299404</v>
      </c>
      <c r="H36" s="195">
        <v>850648</v>
      </c>
      <c r="I36" s="80"/>
      <c r="J36" s="80">
        <v>0</v>
      </c>
      <c r="K36" s="80">
        <v>0.06</v>
      </c>
      <c r="L36" s="37">
        <v>0.7</v>
      </c>
    </row>
    <row r="37" spans="1:12" x14ac:dyDescent="0.25">
      <c r="A37" s="31">
        <v>2015</v>
      </c>
      <c r="B37" s="53">
        <v>2438</v>
      </c>
      <c r="C37" s="53">
        <f t="shared" si="4"/>
        <v>11095</v>
      </c>
      <c r="D37" s="64">
        <v>13533</v>
      </c>
      <c r="E37" s="53"/>
      <c r="F37" s="53">
        <v>387425</v>
      </c>
      <c r="G37" s="53">
        <f t="shared" si="5"/>
        <v>317613</v>
      </c>
      <c r="H37" s="64">
        <v>705038</v>
      </c>
      <c r="I37" s="53"/>
      <c r="J37" s="53">
        <v>0</v>
      </c>
      <c r="K37" s="53">
        <f>L37-J37</f>
        <v>0.01</v>
      </c>
      <c r="L37" s="32">
        <v>0.01</v>
      </c>
    </row>
    <row r="38" spans="1:12" x14ac:dyDescent="0.25">
      <c r="A38" s="36">
        <v>2016</v>
      </c>
      <c r="B38" s="80">
        <v>3372</v>
      </c>
      <c r="C38" s="80">
        <f t="shared" si="4"/>
        <v>11100</v>
      </c>
      <c r="D38" s="195">
        <v>14472</v>
      </c>
      <c r="E38" s="80"/>
      <c r="F38" s="80">
        <v>566608</v>
      </c>
      <c r="G38" s="80">
        <f t="shared" si="5"/>
        <v>251003</v>
      </c>
      <c r="H38" s="195">
        <v>817611</v>
      </c>
      <c r="I38" s="80"/>
      <c r="J38" s="80">
        <v>0</v>
      </c>
      <c r="K38" s="80">
        <f>L38-J38</f>
        <v>1.2250000000000001</v>
      </c>
      <c r="L38" s="37">
        <v>1.2250000000000001</v>
      </c>
    </row>
    <row r="39" spans="1:12" x14ac:dyDescent="0.25">
      <c r="A39" s="42">
        <v>2017</v>
      </c>
      <c r="B39" s="102">
        <v>4684</v>
      </c>
      <c r="C39" s="102">
        <f t="shared" si="4"/>
        <v>11339</v>
      </c>
      <c r="D39" s="197">
        <v>16023</v>
      </c>
      <c r="E39" s="102"/>
      <c r="F39" s="102">
        <v>763196</v>
      </c>
      <c r="G39" s="102">
        <f t="shared" si="5"/>
        <v>259768</v>
      </c>
      <c r="H39" s="197">
        <v>1022964</v>
      </c>
      <c r="I39" s="102"/>
      <c r="J39" s="102">
        <v>0</v>
      </c>
      <c r="K39" s="102">
        <v>0</v>
      </c>
      <c r="L39" s="43">
        <v>0</v>
      </c>
    </row>
    <row r="40" spans="1:12" x14ac:dyDescent="0.25">
      <c r="A40" s="36">
        <v>2018</v>
      </c>
      <c r="B40" s="80">
        <v>4771</v>
      </c>
      <c r="C40" s="80">
        <f t="shared" si="4"/>
        <v>12084</v>
      </c>
      <c r="D40" s="195">
        <v>16855</v>
      </c>
      <c r="E40" s="80"/>
      <c r="F40" s="80">
        <v>798946</v>
      </c>
      <c r="G40" s="80">
        <f t="shared" si="5"/>
        <v>238630</v>
      </c>
      <c r="H40" s="195">
        <v>1037576</v>
      </c>
      <c r="I40" s="80"/>
      <c r="J40" s="80">
        <v>0</v>
      </c>
      <c r="K40" s="80">
        <v>0</v>
      </c>
      <c r="L40" s="37">
        <v>0</v>
      </c>
    </row>
    <row r="41" spans="1:12" x14ac:dyDescent="0.25">
      <c r="A41" s="47">
        <v>2019</v>
      </c>
      <c r="B41" s="107">
        <v>4713</v>
      </c>
      <c r="C41" s="107">
        <f t="shared" si="4"/>
        <v>12966</v>
      </c>
      <c r="D41" s="199">
        <v>17679</v>
      </c>
      <c r="E41" s="107"/>
      <c r="F41" s="107">
        <v>801479</v>
      </c>
      <c r="G41" s="107">
        <f t="shared" si="5"/>
        <v>244770</v>
      </c>
      <c r="H41" s="199">
        <v>1046249</v>
      </c>
      <c r="I41" s="107"/>
      <c r="J41" s="107">
        <v>0</v>
      </c>
      <c r="K41" s="107">
        <v>0</v>
      </c>
      <c r="L41" s="48">
        <v>0</v>
      </c>
    </row>
    <row r="42" spans="1:12" x14ac:dyDescent="0.25">
      <c r="A42" s="81"/>
      <c r="B42" s="201"/>
      <c r="C42" s="201"/>
      <c r="D42" s="51"/>
      <c r="E42" s="16"/>
      <c r="F42" s="201"/>
      <c r="G42" s="201"/>
      <c r="H42" s="201"/>
      <c r="I42" s="16"/>
      <c r="J42" s="16"/>
      <c r="K42" s="16"/>
      <c r="L42" s="16"/>
    </row>
    <row r="43" spans="1:12" ht="15" customHeight="1" x14ac:dyDescent="0.3">
      <c r="A43" s="52" t="s">
        <v>53</v>
      </c>
      <c r="B43" s="64"/>
      <c r="C43" s="64"/>
      <c r="D43" s="64"/>
      <c r="E43" s="53"/>
      <c r="F43" s="64"/>
      <c r="G43" s="64"/>
      <c r="H43" s="64"/>
      <c r="I43" s="53"/>
      <c r="J43" s="64"/>
      <c r="K43" s="64"/>
      <c r="L43" s="64"/>
    </row>
    <row r="44" spans="1:12" ht="15" customHeight="1" x14ac:dyDescent="0.25">
      <c r="A44" s="336" t="s">
        <v>155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</row>
    <row r="45" spans="1:12" x14ac:dyDescent="0.25">
      <c r="A45" s="84" t="s">
        <v>65</v>
      </c>
    </row>
    <row r="46" spans="1:12" x14ac:dyDescent="0.25">
      <c r="A46" s="84" t="s">
        <v>66</v>
      </c>
    </row>
  </sheetData>
  <mergeCells count="1">
    <mergeCell ref="A44:L44"/>
  </mergeCells>
  <pageMargins left="0.19685039370078741" right="0.19685039370078741" top="0.55118110236220474" bottom="0" header="0" footer="0"/>
  <pageSetup paperSize="9" orientation="portrait" r:id="rId1"/>
  <headerFooter alignWithMargins="0"/>
  <ignoredErrors>
    <ignoredError sqref="B19:L25 D26:L4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41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1" width="16.1796875" style="67" customWidth="1"/>
    <col min="2" max="2" width="10.81640625" style="67" customWidth="1"/>
    <col min="3" max="3" width="9.81640625" style="67" customWidth="1"/>
    <col min="4" max="4" width="10.81640625" style="67" customWidth="1"/>
    <col min="5" max="5" width="0.81640625" style="67" customWidth="1"/>
    <col min="6" max="6" width="10.81640625" style="67" customWidth="1"/>
    <col min="7" max="7" width="10.54296875" style="67" customWidth="1"/>
    <col min="8" max="8" width="10.81640625" style="67" customWidth="1"/>
    <col min="9" max="9" width="1.26953125" style="67" customWidth="1"/>
    <col min="10" max="11" width="11.54296875" style="67" customWidth="1"/>
    <col min="12" max="21" width="10.7265625" style="67" hidden="1" customWidth="1"/>
    <col min="22" max="22" width="11" style="67" customWidth="1"/>
    <col min="23" max="256" width="11.453125" style="67"/>
    <col min="257" max="257" width="16.1796875" style="67" customWidth="1"/>
    <col min="258" max="258" width="10.81640625" style="67" customWidth="1"/>
    <col min="259" max="259" width="9.81640625" style="67" customWidth="1"/>
    <col min="260" max="260" width="10.81640625" style="67" customWidth="1"/>
    <col min="261" max="261" width="0.81640625" style="67" customWidth="1"/>
    <col min="262" max="262" width="10.81640625" style="67" customWidth="1"/>
    <col min="263" max="263" width="10.54296875" style="67" customWidth="1"/>
    <col min="264" max="264" width="10.81640625" style="67" customWidth="1"/>
    <col min="265" max="265" width="1.26953125" style="67" customWidth="1"/>
    <col min="266" max="267" width="11.54296875" style="67" customWidth="1"/>
    <col min="268" max="277" width="0" style="67" hidden="1" customWidth="1"/>
    <col min="278" max="278" width="11" style="67" customWidth="1"/>
    <col min="279" max="512" width="11.453125" style="67"/>
    <col min="513" max="513" width="16.1796875" style="67" customWidth="1"/>
    <col min="514" max="514" width="10.81640625" style="67" customWidth="1"/>
    <col min="515" max="515" width="9.81640625" style="67" customWidth="1"/>
    <col min="516" max="516" width="10.81640625" style="67" customWidth="1"/>
    <col min="517" max="517" width="0.81640625" style="67" customWidth="1"/>
    <col min="518" max="518" width="10.81640625" style="67" customWidth="1"/>
    <col min="519" max="519" width="10.54296875" style="67" customWidth="1"/>
    <col min="520" max="520" width="10.81640625" style="67" customWidth="1"/>
    <col min="521" max="521" width="1.26953125" style="67" customWidth="1"/>
    <col min="522" max="523" width="11.54296875" style="67" customWidth="1"/>
    <col min="524" max="533" width="0" style="67" hidden="1" customWidth="1"/>
    <col min="534" max="534" width="11" style="67" customWidth="1"/>
    <col min="535" max="768" width="11.453125" style="67"/>
    <col min="769" max="769" width="16.1796875" style="67" customWidth="1"/>
    <col min="770" max="770" width="10.81640625" style="67" customWidth="1"/>
    <col min="771" max="771" width="9.81640625" style="67" customWidth="1"/>
    <col min="772" max="772" width="10.81640625" style="67" customWidth="1"/>
    <col min="773" max="773" width="0.81640625" style="67" customWidth="1"/>
    <col min="774" max="774" width="10.81640625" style="67" customWidth="1"/>
    <col min="775" max="775" width="10.54296875" style="67" customWidth="1"/>
    <col min="776" max="776" width="10.81640625" style="67" customWidth="1"/>
    <col min="777" max="777" width="1.26953125" style="67" customWidth="1"/>
    <col min="778" max="779" width="11.54296875" style="67" customWidth="1"/>
    <col min="780" max="789" width="0" style="67" hidden="1" customWidth="1"/>
    <col min="790" max="790" width="11" style="67" customWidth="1"/>
    <col min="791" max="1024" width="11.453125" style="67"/>
    <col min="1025" max="1025" width="16.1796875" style="67" customWidth="1"/>
    <col min="1026" max="1026" width="10.81640625" style="67" customWidth="1"/>
    <col min="1027" max="1027" width="9.81640625" style="67" customWidth="1"/>
    <col min="1028" max="1028" width="10.81640625" style="67" customWidth="1"/>
    <col min="1029" max="1029" width="0.81640625" style="67" customWidth="1"/>
    <col min="1030" max="1030" width="10.81640625" style="67" customWidth="1"/>
    <col min="1031" max="1031" width="10.54296875" style="67" customWidth="1"/>
    <col min="1032" max="1032" width="10.81640625" style="67" customWidth="1"/>
    <col min="1033" max="1033" width="1.26953125" style="67" customWidth="1"/>
    <col min="1034" max="1035" width="11.54296875" style="67" customWidth="1"/>
    <col min="1036" max="1045" width="0" style="67" hidden="1" customWidth="1"/>
    <col min="1046" max="1046" width="11" style="67" customWidth="1"/>
    <col min="1047" max="1280" width="11.453125" style="67"/>
    <col min="1281" max="1281" width="16.1796875" style="67" customWidth="1"/>
    <col min="1282" max="1282" width="10.81640625" style="67" customWidth="1"/>
    <col min="1283" max="1283" width="9.81640625" style="67" customWidth="1"/>
    <col min="1284" max="1284" width="10.81640625" style="67" customWidth="1"/>
    <col min="1285" max="1285" width="0.81640625" style="67" customWidth="1"/>
    <col min="1286" max="1286" width="10.81640625" style="67" customWidth="1"/>
    <col min="1287" max="1287" width="10.54296875" style="67" customWidth="1"/>
    <col min="1288" max="1288" width="10.81640625" style="67" customWidth="1"/>
    <col min="1289" max="1289" width="1.26953125" style="67" customWidth="1"/>
    <col min="1290" max="1291" width="11.54296875" style="67" customWidth="1"/>
    <col min="1292" max="1301" width="0" style="67" hidden="1" customWidth="1"/>
    <col min="1302" max="1302" width="11" style="67" customWidth="1"/>
    <col min="1303" max="1536" width="11.453125" style="67"/>
    <col min="1537" max="1537" width="16.1796875" style="67" customWidth="1"/>
    <col min="1538" max="1538" width="10.81640625" style="67" customWidth="1"/>
    <col min="1539" max="1539" width="9.81640625" style="67" customWidth="1"/>
    <col min="1540" max="1540" width="10.81640625" style="67" customWidth="1"/>
    <col min="1541" max="1541" width="0.81640625" style="67" customWidth="1"/>
    <col min="1542" max="1542" width="10.81640625" style="67" customWidth="1"/>
    <col min="1543" max="1543" width="10.54296875" style="67" customWidth="1"/>
    <col min="1544" max="1544" width="10.81640625" style="67" customWidth="1"/>
    <col min="1545" max="1545" width="1.26953125" style="67" customWidth="1"/>
    <col min="1546" max="1547" width="11.54296875" style="67" customWidth="1"/>
    <col min="1548" max="1557" width="0" style="67" hidden="1" customWidth="1"/>
    <col min="1558" max="1558" width="11" style="67" customWidth="1"/>
    <col min="1559" max="1792" width="11.453125" style="67"/>
    <col min="1793" max="1793" width="16.1796875" style="67" customWidth="1"/>
    <col min="1794" max="1794" width="10.81640625" style="67" customWidth="1"/>
    <col min="1795" max="1795" width="9.81640625" style="67" customWidth="1"/>
    <col min="1796" max="1796" width="10.81640625" style="67" customWidth="1"/>
    <col min="1797" max="1797" width="0.81640625" style="67" customWidth="1"/>
    <col min="1798" max="1798" width="10.81640625" style="67" customWidth="1"/>
    <col min="1799" max="1799" width="10.54296875" style="67" customWidth="1"/>
    <col min="1800" max="1800" width="10.81640625" style="67" customWidth="1"/>
    <col min="1801" max="1801" width="1.26953125" style="67" customWidth="1"/>
    <col min="1802" max="1803" width="11.54296875" style="67" customWidth="1"/>
    <col min="1804" max="1813" width="0" style="67" hidden="1" customWidth="1"/>
    <col min="1814" max="1814" width="11" style="67" customWidth="1"/>
    <col min="1815" max="2048" width="11.453125" style="67"/>
    <col min="2049" max="2049" width="16.1796875" style="67" customWidth="1"/>
    <col min="2050" max="2050" width="10.81640625" style="67" customWidth="1"/>
    <col min="2051" max="2051" width="9.81640625" style="67" customWidth="1"/>
    <col min="2052" max="2052" width="10.81640625" style="67" customWidth="1"/>
    <col min="2053" max="2053" width="0.81640625" style="67" customWidth="1"/>
    <col min="2054" max="2054" width="10.81640625" style="67" customWidth="1"/>
    <col min="2055" max="2055" width="10.54296875" style="67" customWidth="1"/>
    <col min="2056" max="2056" width="10.81640625" style="67" customWidth="1"/>
    <col min="2057" max="2057" width="1.26953125" style="67" customWidth="1"/>
    <col min="2058" max="2059" width="11.54296875" style="67" customWidth="1"/>
    <col min="2060" max="2069" width="0" style="67" hidden="1" customWidth="1"/>
    <col min="2070" max="2070" width="11" style="67" customWidth="1"/>
    <col min="2071" max="2304" width="11.453125" style="67"/>
    <col min="2305" max="2305" width="16.1796875" style="67" customWidth="1"/>
    <col min="2306" max="2306" width="10.81640625" style="67" customWidth="1"/>
    <col min="2307" max="2307" width="9.81640625" style="67" customWidth="1"/>
    <col min="2308" max="2308" width="10.81640625" style="67" customWidth="1"/>
    <col min="2309" max="2309" width="0.81640625" style="67" customWidth="1"/>
    <col min="2310" max="2310" width="10.81640625" style="67" customWidth="1"/>
    <col min="2311" max="2311" width="10.54296875" style="67" customWidth="1"/>
    <col min="2312" max="2312" width="10.81640625" style="67" customWidth="1"/>
    <col min="2313" max="2313" width="1.26953125" style="67" customWidth="1"/>
    <col min="2314" max="2315" width="11.54296875" style="67" customWidth="1"/>
    <col min="2316" max="2325" width="0" style="67" hidden="1" customWidth="1"/>
    <col min="2326" max="2326" width="11" style="67" customWidth="1"/>
    <col min="2327" max="2560" width="11.453125" style="67"/>
    <col min="2561" max="2561" width="16.1796875" style="67" customWidth="1"/>
    <col min="2562" max="2562" width="10.81640625" style="67" customWidth="1"/>
    <col min="2563" max="2563" width="9.81640625" style="67" customWidth="1"/>
    <col min="2564" max="2564" width="10.81640625" style="67" customWidth="1"/>
    <col min="2565" max="2565" width="0.81640625" style="67" customWidth="1"/>
    <col min="2566" max="2566" width="10.81640625" style="67" customWidth="1"/>
    <col min="2567" max="2567" width="10.54296875" style="67" customWidth="1"/>
    <col min="2568" max="2568" width="10.81640625" style="67" customWidth="1"/>
    <col min="2569" max="2569" width="1.26953125" style="67" customWidth="1"/>
    <col min="2570" max="2571" width="11.54296875" style="67" customWidth="1"/>
    <col min="2572" max="2581" width="0" style="67" hidden="1" customWidth="1"/>
    <col min="2582" max="2582" width="11" style="67" customWidth="1"/>
    <col min="2583" max="2816" width="11.453125" style="67"/>
    <col min="2817" max="2817" width="16.1796875" style="67" customWidth="1"/>
    <col min="2818" max="2818" width="10.81640625" style="67" customWidth="1"/>
    <col min="2819" max="2819" width="9.81640625" style="67" customWidth="1"/>
    <col min="2820" max="2820" width="10.81640625" style="67" customWidth="1"/>
    <col min="2821" max="2821" width="0.81640625" style="67" customWidth="1"/>
    <col min="2822" max="2822" width="10.81640625" style="67" customWidth="1"/>
    <col min="2823" max="2823" width="10.54296875" style="67" customWidth="1"/>
    <col min="2824" max="2824" width="10.81640625" style="67" customWidth="1"/>
    <col min="2825" max="2825" width="1.26953125" style="67" customWidth="1"/>
    <col min="2826" max="2827" width="11.54296875" style="67" customWidth="1"/>
    <col min="2828" max="2837" width="0" style="67" hidden="1" customWidth="1"/>
    <col min="2838" max="2838" width="11" style="67" customWidth="1"/>
    <col min="2839" max="3072" width="11.453125" style="67"/>
    <col min="3073" max="3073" width="16.1796875" style="67" customWidth="1"/>
    <col min="3074" max="3074" width="10.81640625" style="67" customWidth="1"/>
    <col min="3075" max="3075" width="9.81640625" style="67" customWidth="1"/>
    <col min="3076" max="3076" width="10.81640625" style="67" customWidth="1"/>
    <col min="3077" max="3077" width="0.81640625" style="67" customWidth="1"/>
    <col min="3078" max="3078" width="10.81640625" style="67" customWidth="1"/>
    <col min="3079" max="3079" width="10.54296875" style="67" customWidth="1"/>
    <col min="3080" max="3080" width="10.81640625" style="67" customWidth="1"/>
    <col min="3081" max="3081" width="1.26953125" style="67" customWidth="1"/>
    <col min="3082" max="3083" width="11.54296875" style="67" customWidth="1"/>
    <col min="3084" max="3093" width="0" style="67" hidden="1" customWidth="1"/>
    <col min="3094" max="3094" width="11" style="67" customWidth="1"/>
    <col min="3095" max="3328" width="11.453125" style="67"/>
    <col min="3329" max="3329" width="16.1796875" style="67" customWidth="1"/>
    <col min="3330" max="3330" width="10.81640625" style="67" customWidth="1"/>
    <col min="3331" max="3331" width="9.81640625" style="67" customWidth="1"/>
    <col min="3332" max="3332" width="10.81640625" style="67" customWidth="1"/>
    <col min="3333" max="3333" width="0.81640625" style="67" customWidth="1"/>
    <col min="3334" max="3334" width="10.81640625" style="67" customWidth="1"/>
    <col min="3335" max="3335" width="10.54296875" style="67" customWidth="1"/>
    <col min="3336" max="3336" width="10.81640625" style="67" customWidth="1"/>
    <col min="3337" max="3337" width="1.26953125" style="67" customWidth="1"/>
    <col min="3338" max="3339" width="11.54296875" style="67" customWidth="1"/>
    <col min="3340" max="3349" width="0" style="67" hidden="1" customWidth="1"/>
    <col min="3350" max="3350" width="11" style="67" customWidth="1"/>
    <col min="3351" max="3584" width="11.453125" style="67"/>
    <col min="3585" max="3585" width="16.1796875" style="67" customWidth="1"/>
    <col min="3586" max="3586" width="10.81640625" style="67" customWidth="1"/>
    <col min="3587" max="3587" width="9.81640625" style="67" customWidth="1"/>
    <col min="3588" max="3588" width="10.81640625" style="67" customWidth="1"/>
    <col min="3589" max="3589" width="0.81640625" style="67" customWidth="1"/>
    <col min="3590" max="3590" width="10.81640625" style="67" customWidth="1"/>
    <col min="3591" max="3591" width="10.54296875" style="67" customWidth="1"/>
    <col min="3592" max="3592" width="10.81640625" style="67" customWidth="1"/>
    <col min="3593" max="3593" width="1.26953125" style="67" customWidth="1"/>
    <col min="3594" max="3595" width="11.54296875" style="67" customWidth="1"/>
    <col min="3596" max="3605" width="0" style="67" hidden="1" customWidth="1"/>
    <col min="3606" max="3606" width="11" style="67" customWidth="1"/>
    <col min="3607" max="3840" width="11.453125" style="67"/>
    <col min="3841" max="3841" width="16.1796875" style="67" customWidth="1"/>
    <col min="3842" max="3842" width="10.81640625" style="67" customWidth="1"/>
    <col min="3843" max="3843" width="9.81640625" style="67" customWidth="1"/>
    <col min="3844" max="3844" width="10.81640625" style="67" customWidth="1"/>
    <col min="3845" max="3845" width="0.81640625" style="67" customWidth="1"/>
    <col min="3846" max="3846" width="10.81640625" style="67" customWidth="1"/>
    <col min="3847" max="3847" width="10.54296875" style="67" customWidth="1"/>
    <col min="3848" max="3848" width="10.81640625" style="67" customWidth="1"/>
    <col min="3849" max="3849" width="1.26953125" style="67" customWidth="1"/>
    <col min="3850" max="3851" width="11.54296875" style="67" customWidth="1"/>
    <col min="3852" max="3861" width="0" style="67" hidden="1" customWidth="1"/>
    <col min="3862" max="3862" width="11" style="67" customWidth="1"/>
    <col min="3863" max="4096" width="11.453125" style="67"/>
    <col min="4097" max="4097" width="16.1796875" style="67" customWidth="1"/>
    <col min="4098" max="4098" width="10.81640625" style="67" customWidth="1"/>
    <col min="4099" max="4099" width="9.81640625" style="67" customWidth="1"/>
    <col min="4100" max="4100" width="10.81640625" style="67" customWidth="1"/>
    <col min="4101" max="4101" width="0.81640625" style="67" customWidth="1"/>
    <col min="4102" max="4102" width="10.81640625" style="67" customWidth="1"/>
    <col min="4103" max="4103" width="10.54296875" style="67" customWidth="1"/>
    <col min="4104" max="4104" width="10.81640625" style="67" customWidth="1"/>
    <col min="4105" max="4105" width="1.26953125" style="67" customWidth="1"/>
    <col min="4106" max="4107" width="11.54296875" style="67" customWidth="1"/>
    <col min="4108" max="4117" width="0" style="67" hidden="1" customWidth="1"/>
    <col min="4118" max="4118" width="11" style="67" customWidth="1"/>
    <col min="4119" max="4352" width="11.453125" style="67"/>
    <col min="4353" max="4353" width="16.1796875" style="67" customWidth="1"/>
    <col min="4354" max="4354" width="10.81640625" style="67" customWidth="1"/>
    <col min="4355" max="4355" width="9.81640625" style="67" customWidth="1"/>
    <col min="4356" max="4356" width="10.81640625" style="67" customWidth="1"/>
    <col min="4357" max="4357" width="0.81640625" style="67" customWidth="1"/>
    <col min="4358" max="4358" width="10.81640625" style="67" customWidth="1"/>
    <col min="4359" max="4359" width="10.54296875" style="67" customWidth="1"/>
    <col min="4360" max="4360" width="10.81640625" style="67" customWidth="1"/>
    <col min="4361" max="4361" width="1.26953125" style="67" customWidth="1"/>
    <col min="4362" max="4363" width="11.54296875" style="67" customWidth="1"/>
    <col min="4364" max="4373" width="0" style="67" hidden="1" customWidth="1"/>
    <col min="4374" max="4374" width="11" style="67" customWidth="1"/>
    <col min="4375" max="4608" width="11.453125" style="67"/>
    <col min="4609" max="4609" width="16.1796875" style="67" customWidth="1"/>
    <col min="4610" max="4610" width="10.81640625" style="67" customWidth="1"/>
    <col min="4611" max="4611" width="9.81640625" style="67" customWidth="1"/>
    <col min="4612" max="4612" width="10.81640625" style="67" customWidth="1"/>
    <col min="4613" max="4613" width="0.81640625" style="67" customWidth="1"/>
    <col min="4614" max="4614" width="10.81640625" style="67" customWidth="1"/>
    <col min="4615" max="4615" width="10.54296875" style="67" customWidth="1"/>
    <col min="4616" max="4616" width="10.81640625" style="67" customWidth="1"/>
    <col min="4617" max="4617" width="1.26953125" style="67" customWidth="1"/>
    <col min="4618" max="4619" width="11.54296875" style="67" customWidth="1"/>
    <col min="4620" max="4629" width="0" style="67" hidden="1" customWidth="1"/>
    <col min="4630" max="4630" width="11" style="67" customWidth="1"/>
    <col min="4631" max="4864" width="11.453125" style="67"/>
    <col min="4865" max="4865" width="16.1796875" style="67" customWidth="1"/>
    <col min="4866" max="4866" width="10.81640625" style="67" customWidth="1"/>
    <col min="4867" max="4867" width="9.81640625" style="67" customWidth="1"/>
    <col min="4868" max="4868" width="10.81640625" style="67" customWidth="1"/>
    <col min="4869" max="4869" width="0.81640625" style="67" customWidth="1"/>
    <col min="4870" max="4870" width="10.81640625" style="67" customWidth="1"/>
    <col min="4871" max="4871" width="10.54296875" style="67" customWidth="1"/>
    <col min="4872" max="4872" width="10.81640625" style="67" customWidth="1"/>
    <col min="4873" max="4873" width="1.26953125" style="67" customWidth="1"/>
    <col min="4874" max="4875" width="11.54296875" style="67" customWidth="1"/>
    <col min="4876" max="4885" width="0" style="67" hidden="1" customWidth="1"/>
    <col min="4886" max="4886" width="11" style="67" customWidth="1"/>
    <col min="4887" max="5120" width="11.453125" style="67"/>
    <col min="5121" max="5121" width="16.1796875" style="67" customWidth="1"/>
    <col min="5122" max="5122" width="10.81640625" style="67" customWidth="1"/>
    <col min="5123" max="5123" width="9.81640625" style="67" customWidth="1"/>
    <col min="5124" max="5124" width="10.81640625" style="67" customWidth="1"/>
    <col min="5125" max="5125" width="0.81640625" style="67" customWidth="1"/>
    <col min="5126" max="5126" width="10.81640625" style="67" customWidth="1"/>
    <col min="5127" max="5127" width="10.54296875" style="67" customWidth="1"/>
    <col min="5128" max="5128" width="10.81640625" style="67" customWidth="1"/>
    <col min="5129" max="5129" width="1.26953125" style="67" customWidth="1"/>
    <col min="5130" max="5131" width="11.54296875" style="67" customWidth="1"/>
    <col min="5132" max="5141" width="0" style="67" hidden="1" customWidth="1"/>
    <col min="5142" max="5142" width="11" style="67" customWidth="1"/>
    <col min="5143" max="5376" width="11.453125" style="67"/>
    <col min="5377" max="5377" width="16.1796875" style="67" customWidth="1"/>
    <col min="5378" max="5378" width="10.81640625" style="67" customWidth="1"/>
    <col min="5379" max="5379" width="9.81640625" style="67" customWidth="1"/>
    <col min="5380" max="5380" width="10.81640625" style="67" customWidth="1"/>
    <col min="5381" max="5381" width="0.81640625" style="67" customWidth="1"/>
    <col min="5382" max="5382" width="10.81640625" style="67" customWidth="1"/>
    <col min="5383" max="5383" width="10.54296875" style="67" customWidth="1"/>
    <col min="5384" max="5384" width="10.81640625" style="67" customWidth="1"/>
    <col min="5385" max="5385" width="1.26953125" style="67" customWidth="1"/>
    <col min="5386" max="5387" width="11.54296875" style="67" customWidth="1"/>
    <col min="5388" max="5397" width="0" style="67" hidden="1" customWidth="1"/>
    <col min="5398" max="5398" width="11" style="67" customWidth="1"/>
    <col min="5399" max="5632" width="11.453125" style="67"/>
    <col min="5633" max="5633" width="16.1796875" style="67" customWidth="1"/>
    <col min="5634" max="5634" width="10.81640625" style="67" customWidth="1"/>
    <col min="5635" max="5635" width="9.81640625" style="67" customWidth="1"/>
    <col min="5636" max="5636" width="10.81640625" style="67" customWidth="1"/>
    <col min="5637" max="5637" width="0.81640625" style="67" customWidth="1"/>
    <col min="5638" max="5638" width="10.81640625" style="67" customWidth="1"/>
    <col min="5639" max="5639" width="10.54296875" style="67" customWidth="1"/>
    <col min="5640" max="5640" width="10.81640625" style="67" customWidth="1"/>
    <col min="5641" max="5641" width="1.26953125" style="67" customWidth="1"/>
    <col min="5642" max="5643" width="11.54296875" style="67" customWidth="1"/>
    <col min="5644" max="5653" width="0" style="67" hidden="1" customWidth="1"/>
    <col min="5654" max="5654" width="11" style="67" customWidth="1"/>
    <col min="5655" max="5888" width="11.453125" style="67"/>
    <col min="5889" max="5889" width="16.1796875" style="67" customWidth="1"/>
    <col min="5890" max="5890" width="10.81640625" style="67" customWidth="1"/>
    <col min="5891" max="5891" width="9.81640625" style="67" customWidth="1"/>
    <col min="5892" max="5892" width="10.81640625" style="67" customWidth="1"/>
    <col min="5893" max="5893" width="0.81640625" style="67" customWidth="1"/>
    <col min="5894" max="5894" width="10.81640625" style="67" customWidth="1"/>
    <col min="5895" max="5895" width="10.54296875" style="67" customWidth="1"/>
    <col min="5896" max="5896" width="10.81640625" style="67" customWidth="1"/>
    <col min="5897" max="5897" width="1.26953125" style="67" customWidth="1"/>
    <col min="5898" max="5899" width="11.54296875" style="67" customWidth="1"/>
    <col min="5900" max="5909" width="0" style="67" hidden="1" customWidth="1"/>
    <col min="5910" max="5910" width="11" style="67" customWidth="1"/>
    <col min="5911" max="6144" width="11.453125" style="67"/>
    <col min="6145" max="6145" width="16.1796875" style="67" customWidth="1"/>
    <col min="6146" max="6146" width="10.81640625" style="67" customWidth="1"/>
    <col min="6147" max="6147" width="9.81640625" style="67" customWidth="1"/>
    <col min="6148" max="6148" width="10.81640625" style="67" customWidth="1"/>
    <col min="6149" max="6149" width="0.81640625" style="67" customWidth="1"/>
    <col min="6150" max="6150" width="10.81640625" style="67" customWidth="1"/>
    <col min="6151" max="6151" width="10.54296875" style="67" customWidth="1"/>
    <col min="6152" max="6152" width="10.81640625" style="67" customWidth="1"/>
    <col min="6153" max="6153" width="1.26953125" style="67" customWidth="1"/>
    <col min="6154" max="6155" width="11.54296875" style="67" customWidth="1"/>
    <col min="6156" max="6165" width="0" style="67" hidden="1" customWidth="1"/>
    <col min="6166" max="6166" width="11" style="67" customWidth="1"/>
    <col min="6167" max="6400" width="11.453125" style="67"/>
    <col min="6401" max="6401" width="16.1796875" style="67" customWidth="1"/>
    <col min="6402" max="6402" width="10.81640625" style="67" customWidth="1"/>
    <col min="6403" max="6403" width="9.81640625" style="67" customWidth="1"/>
    <col min="6404" max="6404" width="10.81640625" style="67" customWidth="1"/>
    <col min="6405" max="6405" width="0.81640625" style="67" customWidth="1"/>
    <col min="6406" max="6406" width="10.81640625" style="67" customWidth="1"/>
    <col min="6407" max="6407" width="10.54296875" style="67" customWidth="1"/>
    <col min="6408" max="6408" width="10.81640625" style="67" customWidth="1"/>
    <col min="6409" max="6409" width="1.26953125" style="67" customWidth="1"/>
    <col min="6410" max="6411" width="11.54296875" style="67" customWidth="1"/>
    <col min="6412" max="6421" width="0" style="67" hidden="1" customWidth="1"/>
    <col min="6422" max="6422" width="11" style="67" customWidth="1"/>
    <col min="6423" max="6656" width="11.453125" style="67"/>
    <col min="6657" max="6657" width="16.1796875" style="67" customWidth="1"/>
    <col min="6658" max="6658" width="10.81640625" style="67" customWidth="1"/>
    <col min="6659" max="6659" width="9.81640625" style="67" customWidth="1"/>
    <col min="6660" max="6660" width="10.81640625" style="67" customWidth="1"/>
    <col min="6661" max="6661" width="0.81640625" style="67" customWidth="1"/>
    <col min="6662" max="6662" width="10.81640625" style="67" customWidth="1"/>
    <col min="6663" max="6663" width="10.54296875" style="67" customWidth="1"/>
    <col min="6664" max="6664" width="10.81640625" style="67" customWidth="1"/>
    <col min="6665" max="6665" width="1.26953125" style="67" customWidth="1"/>
    <col min="6666" max="6667" width="11.54296875" style="67" customWidth="1"/>
    <col min="6668" max="6677" width="0" style="67" hidden="1" customWidth="1"/>
    <col min="6678" max="6678" width="11" style="67" customWidth="1"/>
    <col min="6679" max="6912" width="11.453125" style="67"/>
    <col min="6913" max="6913" width="16.1796875" style="67" customWidth="1"/>
    <col min="6914" max="6914" width="10.81640625" style="67" customWidth="1"/>
    <col min="6915" max="6915" width="9.81640625" style="67" customWidth="1"/>
    <col min="6916" max="6916" width="10.81640625" style="67" customWidth="1"/>
    <col min="6917" max="6917" width="0.81640625" style="67" customWidth="1"/>
    <col min="6918" max="6918" width="10.81640625" style="67" customWidth="1"/>
    <col min="6919" max="6919" width="10.54296875" style="67" customWidth="1"/>
    <col min="6920" max="6920" width="10.81640625" style="67" customWidth="1"/>
    <col min="6921" max="6921" width="1.26953125" style="67" customWidth="1"/>
    <col min="6922" max="6923" width="11.54296875" style="67" customWidth="1"/>
    <col min="6924" max="6933" width="0" style="67" hidden="1" customWidth="1"/>
    <col min="6934" max="6934" width="11" style="67" customWidth="1"/>
    <col min="6935" max="7168" width="11.453125" style="67"/>
    <col min="7169" max="7169" width="16.1796875" style="67" customWidth="1"/>
    <col min="7170" max="7170" width="10.81640625" style="67" customWidth="1"/>
    <col min="7171" max="7171" width="9.81640625" style="67" customWidth="1"/>
    <col min="7172" max="7172" width="10.81640625" style="67" customWidth="1"/>
    <col min="7173" max="7173" width="0.81640625" style="67" customWidth="1"/>
    <col min="7174" max="7174" width="10.81640625" style="67" customWidth="1"/>
    <col min="7175" max="7175" width="10.54296875" style="67" customWidth="1"/>
    <col min="7176" max="7176" width="10.81640625" style="67" customWidth="1"/>
    <col min="7177" max="7177" width="1.26953125" style="67" customWidth="1"/>
    <col min="7178" max="7179" width="11.54296875" style="67" customWidth="1"/>
    <col min="7180" max="7189" width="0" style="67" hidden="1" customWidth="1"/>
    <col min="7190" max="7190" width="11" style="67" customWidth="1"/>
    <col min="7191" max="7424" width="11.453125" style="67"/>
    <col min="7425" max="7425" width="16.1796875" style="67" customWidth="1"/>
    <col min="7426" max="7426" width="10.81640625" style="67" customWidth="1"/>
    <col min="7427" max="7427" width="9.81640625" style="67" customWidth="1"/>
    <col min="7428" max="7428" width="10.81640625" style="67" customWidth="1"/>
    <col min="7429" max="7429" width="0.81640625" style="67" customWidth="1"/>
    <col min="7430" max="7430" width="10.81640625" style="67" customWidth="1"/>
    <col min="7431" max="7431" width="10.54296875" style="67" customWidth="1"/>
    <col min="7432" max="7432" width="10.81640625" style="67" customWidth="1"/>
    <col min="7433" max="7433" width="1.26953125" style="67" customWidth="1"/>
    <col min="7434" max="7435" width="11.54296875" style="67" customWidth="1"/>
    <col min="7436" max="7445" width="0" style="67" hidden="1" customWidth="1"/>
    <col min="7446" max="7446" width="11" style="67" customWidth="1"/>
    <col min="7447" max="7680" width="11.453125" style="67"/>
    <col min="7681" max="7681" width="16.1796875" style="67" customWidth="1"/>
    <col min="7682" max="7682" width="10.81640625" style="67" customWidth="1"/>
    <col min="7683" max="7683" width="9.81640625" style="67" customWidth="1"/>
    <col min="7684" max="7684" width="10.81640625" style="67" customWidth="1"/>
    <col min="7685" max="7685" width="0.81640625" style="67" customWidth="1"/>
    <col min="7686" max="7686" width="10.81640625" style="67" customWidth="1"/>
    <col min="7687" max="7687" width="10.54296875" style="67" customWidth="1"/>
    <col min="7688" max="7688" width="10.81640625" style="67" customWidth="1"/>
    <col min="7689" max="7689" width="1.26953125" style="67" customWidth="1"/>
    <col min="7690" max="7691" width="11.54296875" style="67" customWidth="1"/>
    <col min="7692" max="7701" width="0" style="67" hidden="1" customWidth="1"/>
    <col min="7702" max="7702" width="11" style="67" customWidth="1"/>
    <col min="7703" max="7936" width="11.453125" style="67"/>
    <col min="7937" max="7937" width="16.1796875" style="67" customWidth="1"/>
    <col min="7938" max="7938" width="10.81640625" style="67" customWidth="1"/>
    <col min="7939" max="7939" width="9.81640625" style="67" customWidth="1"/>
    <col min="7940" max="7940" width="10.81640625" style="67" customWidth="1"/>
    <col min="7941" max="7941" width="0.81640625" style="67" customWidth="1"/>
    <col min="7942" max="7942" width="10.81640625" style="67" customWidth="1"/>
    <col min="7943" max="7943" width="10.54296875" style="67" customWidth="1"/>
    <col min="7944" max="7944" width="10.81640625" style="67" customWidth="1"/>
    <col min="7945" max="7945" width="1.26953125" style="67" customWidth="1"/>
    <col min="7946" max="7947" width="11.54296875" style="67" customWidth="1"/>
    <col min="7948" max="7957" width="0" style="67" hidden="1" customWidth="1"/>
    <col min="7958" max="7958" width="11" style="67" customWidth="1"/>
    <col min="7959" max="8192" width="11.453125" style="67"/>
    <col min="8193" max="8193" width="16.1796875" style="67" customWidth="1"/>
    <col min="8194" max="8194" width="10.81640625" style="67" customWidth="1"/>
    <col min="8195" max="8195" width="9.81640625" style="67" customWidth="1"/>
    <col min="8196" max="8196" width="10.81640625" style="67" customWidth="1"/>
    <col min="8197" max="8197" width="0.81640625" style="67" customWidth="1"/>
    <col min="8198" max="8198" width="10.81640625" style="67" customWidth="1"/>
    <col min="8199" max="8199" width="10.54296875" style="67" customWidth="1"/>
    <col min="8200" max="8200" width="10.81640625" style="67" customWidth="1"/>
    <col min="8201" max="8201" width="1.26953125" style="67" customWidth="1"/>
    <col min="8202" max="8203" width="11.54296875" style="67" customWidth="1"/>
    <col min="8204" max="8213" width="0" style="67" hidden="1" customWidth="1"/>
    <col min="8214" max="8214" width="11" style="67" customWidth="1"/>
    <col min="8215" max="8448" width="11.453125" style="67"/>
    <col min="8449" max="8449" width="16.1796875" style="67" customWidth="1"/>
    <col min="8450" max="8450" width="10.81640625" style="67" customWidth="1"/>
    <col min="8451" max="8451" width="9.81640625" style="67" customWidth="1"/>
    <col min="8452" max="8452" width="10.81640625" style="67" customWidth="1"/>
    <col min="8453" max="8453" width="0.81640625" style="67" customWidth="1"/>
    <col min="8454" max="8454" width="10.81640625" style="67" customWidth="1"/>
    <col min="8455" max="8455" width="10.54296875" style="67" customWidth="1"/>
    <col min="8456" max="8456" width="10.81640625" style="67" customWidth="1"/>
    <col min="8457" max="8457" width="1.26953125" style="67" customWidth="1"/>
    <col min="8458" max="8459" width="11.54296875" style="67" customWidth="1"/>
    <col min="8460" max="8469" width="0" style="67" hidden="1" customWidth="1"/>
    <col min="8470" max="8470" width="11" style="67" customWidth="1"/>
    <col min="8471" max="8704" width="11.453125" style="67"/>
    <col min="8705" max="8705" width="16.1796875" style="67" customWidth="1"/>
    <col min="8706" max="8706" width="10.81640625" style="67" customWidth="1"/>
    <col min="8707" max="8707" width="9.81640625" style="67" customWidth="1"/>
    <col min="8708" max="8708" width="10.81640625" style="67" customWidth="1"/>
    <col min="8709" max="8709" width="0.81640625" style="67" customWidth="1"/>
    <col min="8710" max="8710" width="10.81640625" style="67" customWidth="1"/>
    <col min="8711" max="8711" width="10.54296875" style="67" customWidth="1"/>
    <col min="8712" max="8712" width="10.81640625" style="67" customWidth="1"/>
    <col min="8713" max="8713" width="1.26953125" style="67" customWidth="1"/>
    <col min="8714" max="8715" width="11.54296875" style="67" customWidth="1"/>
    <col min="8716" max="8725" width="0" style="67" hidden="1" customWidth="1"/>
    <col min="8726" max="8726" width="11" style="67" customWidth="1"/>
    <col min="8727" max="8960" width="11.453125" style="67"/>
    <col min="8961" max="8961" width="16.1796875" style="67" customWidth="1"/>
    <col min="8962" max="8962" width="10.81640625" style="67" customWidth="1"/>
    <col min="8963" max="8963" width="9.81640625" style="67" customWidth="1"/>
    <col min="8964" max="8964" width="10.81640625" style="67" customWidth="1"/>
    <col min="8965" max="8965" width="0.81640625" style="67" customWidth="1"/>
    <col min="8966" max="8966" width="10.81640625" style="67" customWidth="1"/>
    <col min="8967" max="8967" width="10.54296875" style="67" customWidth="1"/>
    <col min="8968" max="8968" width="10.81640625" style="67" customWidth="1"/>
    <col min="8969" max="8969" width="1.26953125" style="67" customWidth="1"/>
    <col min="8970" max="8971" width="11.54296875" style="67" customWidth="1"/>
    <col min="8972" max="8981" width="0" style="67" hidden="1" customWidth="1"/>
    <col min="8982" max="8982" width="11" style="67" customWidth="1"/>
    <col min="8983" max="9216" width="11.453125" style="67"/>
    <col min="9217" max="9217" width="16.1796875" style="67" customWidth="1"/>
    <col min="9218" max="9218" width="10.81640625" style="67" customWidth="1"/>
    <col min="9219" max="9219" width="9.81640625" style="67" customWidth="1"/>
    <col min="9220" max="9220" width="10.81640625" style="67" customWidth="1"/>
    <col min="9221" max="9221" width="0.81640625" style="67" customWidth="1"/>
    <col min="9222" max="9222" width="10.81640625" style="67" customWidth="1"/>
    <col min="9223" max="9223" width="10.54296875" style="67" customWidth="1"/>
    <col min="9224" max="9224" width="10.81640625" style="67" customWidth="1"/>
    <col min="9225" max="9225" width="1.26953125" style="67" customWidth="1"/>
    <col min="9226" max="9227" width="11.54296875" style="67" customWidth="1"/>
    <col min="9228" max="9237" width="0" style="67" hidden="1" customWidth="1"/>
    <col min="9238" max="9238" width="11" style="67" customWidth="1"/>
    <col min="9239" max="9472" width="11.453125" style="67"/>
    <col min="9473" max="9473" width="16.1796875" style="67" customWidth="1"/>
    <col min="9474" max="9474" width="10.81640625" style="67" customWidth="1"/>
    <col min="9475" max="9475" width="9.81640625" style="67" customWidth="1"/>
    <col min="9476" max="9476" width="10.81640625" style="67" customWidth="1"/>
    <col min="9477" max="9477" width="0.81640625" style="67" customWidth="1"/>
    <col min="9478" max="9478" width="10.81640625" style="67" customWidth="1"/>
    <col min="9479" max="9479" width="10.54296875" style="67" customWidth="1"/>
    <col min="9480" max="9480" width="10.81640625" style="67" customWidth="1"/>
    <col min="9481" max="9481" width="1.26953125" style="67" customWidth="1"/>
    <col min="9482" max="9483" width="11.54296875" style="67" customWidth="1"/>
    <col min="9484" max="9493" width="0" style="67" hidden="1" customWidth="1"/>
    <col min="9494" max="9494" width="11" style="67" customWidth="1"/>
    <col min="9495" max="9728" width="11.453125" style="67"/>
    <col min="9729" max="9729" width="16.1796875" style="67" customWidth="1"/>
    <col min="9730" max="9730" width="10.81640625" style="67" customWidth="1"/>
    <col min="9731" max="9731" width="9.81640625" style="67" customWidth="1"/>
    <col min="9732" max="9732" width="10.81640625" style="67" customWidth="1"/>
    <col min="9733" max="9733" width="0.81640625" style="67" customWidth="1"/>
    <col min="9734" max="9734" width="10.81640625" style="67" customWidth="1"/>
    <col min="9735" max="9735" width="10.54296875" style="67" customWidth="1"/>
    <col min="9736" max="9736" width="10.81640625" style="67" customWidth="1"/>
    <col min="9737" max="9737" width="1.26953125" style="67" customWidth="1"/>
    <col min="9738" max="9739" width="11.54296875" style="67" customWidth="1"/>
    <col min="9740" max="9749" width="0" style="67" hidden="1" customWidth="1"/>
    <col min="9750" max="9750" width="11" style="67" customWidth="1"/>
    <col min="9751" max="9984" width="11.453125" style="67"/>
    <col min="9985" max="9985" width="16.1796875" style="67" customWidth="1"/>
    <col min="9986" max="9986" width="10.81640625" style="67" customWidth="1"/>
    <col min="9987" max="9987" width="9.81640625" style="67" customWidth="1"/>
    <col min="9988" max="9988" width="10.81640625" style="67" customWidth="1"/>
    <col min="9989" max="9989" width="0.81640625" style="67" customWidth="1"/>
    <col min="9990" max="9990" width="10.81640625" style="67" customWidth="1"/>
    <col min="9991" max="9991" width="10.54296875" style="67" customWidth="1"/>
    <col min="9992" max="9992" width="10.81640625" style="67" customWidth="1"/>
    <col min="9993" max="9993" width="1.26953125" style="67" customWidth="1"/>
    <col min="9994" max="9995" width="11.54296875" style="67" customWidth="1"/>
    <col min="9996" max="10005" width="0" style="67" hidden="1" customWidth="1"/>
    <col min="10006" max="10006" width="11" style="67" customWidth="1"/>
    <col min="10007" max="10240" width="11.453125" style="67"/>
    <col min="10241" max="10241" width="16.1796875" style="67" customWidth="1"/>
    <col min="10242" max="10242" width="10.81640625" style="67" customWidth="1"/>
    <col min="10243" max="10243" width="9.81640625" style="67" customWidth="1"/>
    <col min="10244" max="10244" width="10.81640625" style="67" customWidth="1"/>
    <col min="10245" max="10245" width="0.81640625" style="67" customWidth="1"/>
    <col min="10246" max="10246" width="10.81640625" style="67" customWidth="1"/>
    <col min="10247" max="10247" width="10.54296875" style="67" customWidth="1"/>
    <col min="10248" max="10248" width="10.81640625" style="67" customWidth="1"/>
    <col min="10249" max="10249" width="1.26953125" style="67" customWidth="1"/>
    <col min="10250" max="10251" width="11.54296875" style="67" customWidth="1"/>
    <col min="10252" max="10261" width="0" style="67" hidden="1" customWidth="1"/>
    <col min="10262" max="10262" width="11" style="67" customWidth="1"/>
    <col min="10263" max="10496" width="11.453125" style="67"/>
    <col min="10497" max="10497" width="16.1796875" style="67" customWidth="1"/>
    <col min="10498" max="10498" width="10.81640625" style="67" customWidth="1"/>
    <col min="10499" max="10499" width="9.81640625" style="67" customWidth="1"/>
    <col min="10500" max="10500" width="10.81640625" style="67" customWidth="1"/>
    <col min="10501" max="10501" width="0.81640625" style="67" customWidth="1"/>
    <col min="10502" max="10502" width="10.81640625" style="67" customWidth="1"/>
    <col min="10503" max="10503" width="10.54296875" style="67" customWidth="1"/>
    <col min="10504" max="10504" width="10.81640625" style="67" customWidth="1"/>
    <col min="10505" max="10505" width="1.26953125" style="67" customWidth="1"/>
    <col min="10506" max="10507" width="11.54296875" style="67" customWidth="1"/>
    <col min="10508" max="10517" width="0" style="67" hidden="1" customWidth="1"/>
    <col min="10518" max="10518" width="11" style="67" customWidth="1"/>
    <col min="10519" max="10752" width="11.453125" style="67"/>
    <col min="10753" max="10753" width="16.1796875" style="67" customWidth="1"/>
    <col min="10754" max="10754" width="10.81640625" style="67" customWidth="1"/>
    <col min="10755" max="10755" width="9.81640625" style="67" customWidth="1"/>
    <col min="10756" max="10756" width="10.81640625" style="67" customWidth="1"/>
    <col min="10757" max="10757" width="0.81640625" style="67" customWidth="1"/>
    <col min="10758" max="10758" width="10.81640625" style="67" customWidth="1"/>
    <col min="10759" max="10759" width="10.54296875" style="67" customWidth="1"/>
    <col min="10760" max="10760" width="10.81640625" style="67" customWidth="1"/>
    <col min="10761" max="10761" width="1.26953125" style="67" customWidth="1"/>
    <col min="10762" max="10763" width="11.54296875" style="67" customWidth="1"/>
    <col min="10764" max="10773" width="0" style="67" hidden="1" customWidth="1"/>
    <col min="10774" max="10774" width="11" style="67" customWidth="1"/>
    <col min="10775" max="11008" width="11.453125" style="67"/>
    <col min="11009" max="11009" width="16.1796875" style="67" customWidth="1"/>
    <col min="11010" max="11010" width="10.81640625" style="67" customWidth="1"/>
    <col min="11011" max="11011" width="9.81640625" style="67" customWidth="1"/>
    <col min="11012" max="11012" width="10.81640625" style="67" customWidth="1"/>
    <col min="11013" max="11013" width="0.81640625" style="67" customWidth="1"/>
    <col min="11014" max="11014" width="10.81640625" style="67" customWidth="1"/>
    <col min="11015" max="11015" width="10.54296875" style="67" customWidth="1"/>
    <col min="11016" max="11016" width="10.81640625" style="67" customWidth="1"/>
    <col min="11017" max="11017" width="1.26953125" style="67" customWidth="1"/>
    <col min="11018" max="11019" width="11.54296875" style="67" customWidth="1"/>
    <col min="11020" max="11029" width="0" style="67" hidden="1" customWidth="1"/>
    <col min="11030" max="11030" width="11" style="67" customWidth="1"/>
    <col min="11031" max="11264" width="11.453125" style="67"/>
    <col min="11265" max="11265" width="16.1796875" style="67" customWidth="1"/>
    <col min="11266" max="11266" width="10.81640625" style="67" customWidth="1"/>
    <col min="11267" max="11267" width="9.81640625" style="67" customWidth="1"/>
    <col min="11268" max="11268" width="10.81640625" style="67" customWidth="1"/>
    <col min="11269" max="11269" width="0.81640625" style="67" customWidth="1"/>
    <col min="11270" max="11270" width="10.81640625" style="67" customWidth="1"/>
    <col min="11271" max="11271" width="10.54296875" style="67" customWidth="1"/>
    <col min="11272" max="11272" width="10.81640625" style="67" customWidth="1"/>
    <col min="11273" max="11273" width="1.26953125" style="67" customWidth="1"/>
    <col min="11274" max="11275" width="11.54296875" style="67" customWidth="1"/>
    <col min="11276" max="11285" width="0" style="67" hidden="1" customWidth="1"/>
    <col min="11286" max="11286" width="11" style="67" customWidth="1"/>
    <col min="11287" max="11520" width="11.453125" style="67"/>
    <col min="11521" max="11521" width="16.1796875" style="67" customWidth="1"/>
    <col min="11522" max="11522" width="10.81640625" style="67" customWidth="1"/>
    <col min="11523" max="11523" width="9.81640625" style="67" customWidth="1"/>
    <col min="11524" max="11524" width="10.81640625" style="67" customWidth="1"/>
    <col min="11525" max="11525" width="0.81640625" style="67" customWidth="1"/>
    <col min="11526" max="11526" width="10.81640625" style="67" customWidth="1"/>
    <col min="11527" max="11527" width="10.54296875" style="67" customWidth="1"/>
    <col min="11528" max="11528" width="10.81640625" style="67" customWidth="1"/>
    <col min="11529" max="11529" width="1.26953125" style="67" customWidth="1"/>
    <col min="11530" max="11531" width="11.54296875" style="67" customWidth="1"/>
    <col min="11532" max="11541" width="0" style="67" hidden="1" customWidth="1"/>
    <col min="11542" max="11542" width="11" style="67" customWidth="1"/>
    <col min="11543" max="11776" width="11.453125" style="67"/>
    <col min="11777" max="11777" width="16.1796875" style="67" customWidth="1"/>
    <col min="11778" max="11778" width="10.81640625" style="67" customWidth="1"/>
    <col min="11779" max="11779" width="9.81640625" style="67" customWidth="1"/>
    <col min="11780" max="11780" width="10.81640625" style="67" customWidth="1"/>
    <col min="11781" max="11781" width="0.81640625" style="67" customWidth="1"/>
    <col min="11782" max="11782" width="10.81640625" style="67" customWidth="1"/>
    <col min="11783" max="11783" width="10.54296875" style="67" customWidth="1"/>
    <col min="11784" max="11784" width="10.81640625" style="67" customWidth="1"/>
    <col min="11785" max="11785" width="1.26953125" style="67" customWidth="1"/>
    <col min="11786" max="11787" width="11.54296875" style="67" customWidth="1"/>
    <col min="11788" max="11797" width="0" style="67" hidden="1" customWidth="1"/>
    <col min="11798" max="11798" width="11" style="67" customWidth="1"/>
    <col min="11799" max="12032" width="11.453125" style="67"/>
    <col min="12033" max="12033" width="16.1796875" style="67" customWidth="1"/>
    <col min="12034" max="12034" width="10.81640625" style="67" customWidth="1"/>
    <col min="12035" max="12035" width="9.81640625" style="67" customWidth="1"/>
    <col min="12036" max="12036" width="10.81640625" style="67" customWidth="1"/>
    <col min="12037" max="12037" width="0.81640625" style="67" customWidth="1"/>
    <col min="12038" max="12038" width="10.81640625" style="67" customWidth="1"/>
    <col min="12039" max="12039" width="10.54296875" style="67" customWidth="1"/>
    <col min="12040" max="12040" width="10.81640625" style="67" customWidth="1"/>
    <col min="12041" max="12041" width="1.26953125" style="67" customWidth="1"/>
    <col min="12042" max="12043" width="11.54296875" style="67" customWidth="1"/>
    <col min="12044" max="12053" width="0" style="67" hidden="1" customWidth="1"/>
    <col min="12054" max="12054" width="11" style="67" customWidth="1"/>
    <col min="12055" max="12288" width="11.453125" style="67"/>
    <col min="12289" max="12289" width="16.1796875" style="67" customWidth="1"/>
    <col min="12290" max="12290" width="10.81640625" style="67" customWidth="1"/>
    <col min="12291" max="12291" width="9.81640625" style="67" customWidth="1"/>
    <col min="12292" max="12292" width="10.81640625" style="67" customWidth="1"/>
    <col min="12293" max="12293" width="0.81640625" style="67" customWidth="1"/>
    <col min="12294" max="12294" width="10.81640625" style="67" customWidth="1"/>
    <col min="12295" max="12295" width="10.54296875" style="67" customWidth="1"/>
    <col min="12296" max="12296" width="10.81640625" style="67" customWidth="1"/>
    <col min="12297" max="12297" width="1.26953125" style="67" customWidth="1"/>
    <col min="12298" max="12299" width="11.54296875" style="67" customWidth="1"/>
    <col min="12300" max="12309" width="0" style="67" hidden="1" customWidth="1"/>
    <col min="12310" max="12310" width="11" style="67" customWidth="1"/>
    <col min="12311" max="12544" width="11.453125" style="67"/>
    <col min="12545" max="12545" width="16.1796875" style="67" customWidth="1"/>
    <col min="12546" max="12546" width="10.81640625" style="67" customWidth="1"/>
    <col min="12547" max="12547" width="9.81640625" style="67" customWidth="1"/>
    <col min="12548" max="12548" width="10.81640625" style="67" customWidth="1"/>
    <col min="12549" max="12549" width="0.81640625" style="67" customWidth="1"/>
    <col min="12550" max="12550" width="10.81640625" style="67" customWidth="1"/>
    <col min="12551" max="12551" width="10.54296875" style="67" customWidth="1"/>
    <col min="12552" max="12552" width="10.81640625" style="67" customWidth="1"/>
    <col min="12553" max="12553" width="1.26953125" style="67" customWidth="1"/>
    <col min="12554" max="12555" width="11.54296875" style="67" customWidth="1"/>
    <col min="12556" max="12565" width="0" style="67" hidden="1" customWidth="1"/>
    <col min="12566" max="12566" width="11" style="67" customWidth="1"/>
    <col min="12567" max="12800" width="11.453125" style="67"/>
    <col min="12801" max="12801" width="16.1796875" style="67" customWidth="1"/>
    <col min="12802" max="12802" width="10.81640625" style="67" customWidth="1"/>
    <col min="12803" max="12803" width="9.81640625" style="67" customWidth="1"/>
    <col min="12804" max="12804" width="10.81640625" style="67" customWidth="1"/>
    <col min="12805" max="12805" width="0.81640625" style="67" customWidth="1"/>
    <col min="12806" max="12806" width="10.81640625" style="67" customWidth="1"/>
    <col min="12807" max="12807" width="10.54296875" style="67" customWidth="1"/>
    <col min="12808" max="12808" width="10.81640625" style="67" customWidth="1"/>
    <col min="12809" max="12809" width="1.26953125" style="67" customWidth="1"/>
    <col min="12810" max="12811" width="11.54296875" style="67" customWidth="1"/>
    <col min="12812" max="12821" width="0" style="67" hidden="1" customWidth="1"/>
    <col min="12822" max="12822" width="11" style="67" customWidth="1"/>
    <col min="12823" max="13056" width="11.453125" style="67"/>
    <col min="13057" max="13057" width="16.1796875" style="67" customWidth="1"/>
    <col min="13058" max="13058" width="10.81640625" style="67" customWidth="1"/>
    <col min="13059" max="13059" width="9.81640625" style="67" customWidth="1"/>
    <col min="13060" max="13060" width="10.81640625" style="67" customWidth="1"/>
    <col min="13061" max="13061" width="0.81640625" style="67" customWidth="1"/>
    <col min="13062" max="13062" width="10.81640625" style="67" customWidth="1"/>
    <col min="13063" max="13063" width="10.54296875" style="67" customWidth="1"/>
    <col min="13064" max="13064" width="10.81640625" style="67" customWidth="1"/>
    <col min="13065" max="13065" width="1.26953125" style="67" customWidth="1"/>
    <col min="13066" max="13067" width="11.54296875" style="67" customWidth="1"/>
    <col min="13068" max="13077" width="0" style="67" hidden="1" customWidth="1"/>
    <col min="13078" max="13078" width="11" style="67" customWidth="1"/>
    <col min="13079" max="13312" width="11.453125" style="67"/>
    <col min="13313" max="13313" width="16.1796875" style="67" customWidth="1"/>
    <col min="13314" max="13314" width="10.81640625" style="67" customWidth="1"/>
    <col min="13315" max="13315" width="9.81640625" style="67" customWidth="1"/>
    <col min="13316" max="13316" width="10.81640625" style="67" customWidth="1"/>
    <col min="13317" max="13317" width="0.81640625" style="67" customWidth="1"/>
    <col min="13318" max="13318" width="10.81640625" style="67" customWidth="1"/>
    <col min="13319" max="13319" width="10.54296875" style="67" customWidth="1"/>
    <col min="13320" max="13320" width="10.81640625" style="67" customWidth="1"/>
    <col min="13321" max="13321" width="1.26953125" style="67" customWidth="1"/>
    <col min="13322" max="13323" width="11.54296875" style="67" customWidth="1"/>
    <col min="13324" max="13333" width="0" style="67" hidden="1" customWidth="1"/>
    <col min="13334" max="13334" width="11" style="67" customWidth="1"/>
    <col min="13335" max="13568" width="11.453125" style="67"/>
    <col min="13569" max="13569" width="16.1796875" style="67" customWidth="1"/>
    <col min="13570" max="13570" width="10.81640625" style="67" customWidth="1"/>
    <col min="13571" max="13571" width="9.81640625" style="67" customWidth="1"/>
    <col min="13572" max="13572" width="10.81640625" style="67" customWidth="1"/>
    <col min="13573" max="13573" width="0.81640625" style="67" customWidth="1"/>
    <col min="13574" max="13574" width="10.81640625" style="67" customWidth="1"/>
    <col min="13575" max="13575" width="10.54296875" style="67" customWidth="1"/>
    <col min="13576" max="13576" width="10.81640625" style="67" customWidth="1"/>
    <col min="13577" max="13577" width="1.26953125" style="67" customWidth="1"/>
    <col min="13578" max="13579" width="11.54296875" style="67" customWidth="1"/>
    <col min="13580" max="13589" width="0" style="67" hidden="1" customWidth="1"/>
    <col min="13590" max="13590" width="11" style="67" customWidth="1"/>
    <col min="13591" max="13824" width="11.453125" style="67"/>
    <col min="13825" max="13825" width="16.1796875" style="67" customWidth="1"/>
    <col min="13826" max="13826" width="10.81640625" style="67" customWidth="1"/>
    <col min="13827" max="13827" width="9.81640625" style="67" customWidth="1"/>
    <col min="13828" max="13828" width="10.81640625" style="67" customWidth="1"/>
    <col min="13829" max="13829" width="0.81640625" style="67" customWidth="1"/>
    <col min="13830" max="13830" width="10.81640625" style="67" customWidth="1"/>
    <col min="13831" max="13831" width="10.54296875" style="67" customWidth="1"/>
    <col min="13832" max="13832" width="10.81640625" style="67" customWidth="1"/>
    <col min="13833" max="13833" width="1.26953125" style="67" customWidth="1"/>
    <col min="13834" max="13835" width="11.54296875" style="67" customWidth="1"/>
    <col min="13836" max="13845" width="0" style="67" hidden="1" customWidth="1"/>
    <col min="13846" max="13846" width="11" style="67" customWidth="1"/>
    <col min="13847" max="14080" width="11.453125" style="67"/>
    <col min="14081" max="14081" width="16.1796875" style="67" customWidth="1"/>
    <col min="14082" max="14082" width="10.81640625" style="67" customWidth="1"/>
    <col min="14083" max="14083" width="9.81640625" style="67" customWidth="1"/>
    <col min="14084" max="14084" width="10.81640625" style="67" customWidth="1"/>
    <col min="14085" max="14085" width="0.81640625" style="67" customWidth="1"/>
    <col min="14086" max="14086" width="10.81640625" style="67" customWidth="1"/>
    <col min="14087" max="14087" width="10.54296875" style="67" customWidth="1"/>
    <col min="14088" max="14088" width="10.81640625" style="67" customWidth="1"/>
    <col min="14089" max="14089" width="1.26953125" style="67" customWidth="1"/>
    <col min="14090" max="14091" width="11.54296875" style="67" customWidth="1"/>
    <col min="14092" max="14101" width="0" style="67" hidden="1" customWidth="1"/>
    <col min="14102" max="14102" width="11" style="67" customWidth="1"/>
    <col min="14103" max="14336" width="11.453125" style="67"/>
    <col min="14337" max="14337" width="16.1796875" style="67" customWidth="1"/>
    <col min="14338" max="14338" width="10.81640625" style="67" customWidth="1"/>
    <col min="14339" max="14339" width="9.81640625" style="67" customWidth="1"/>
    <col min="14340" max="14340" width="10.81640625" style="67" customWidth="1"/>
    <col min="14341" max="14341" width="0.81640625" style="67" customWidth="1"/>
    <col min="14342" max="14342" width="10.81640625" style="67" customWidth="1"/>
    <col min="14343" max="14343" width="10.54296875" style="67" customWidth="1"/>
    <col min="14344" max="14344" width="10.81640625" style="67" customWidth="1"/>
    <col min="14345" max="14345" width="1.26953125" style="67" customWidth="1"/>
    <col min="14346" max="14347" width="11.54296875" style="67" customWidth="1"/>
    <col min="14348" max="14357" width="0" style="67" hidden="1" customWidth="1"/>
    <col min="14358" max="14358" width="11" style="67" customWidth="1"/>
    <col min="14359" max="14592" width="11.453125" style="67"/>
    <col min="14593" max="14593" width="16.1796875" style="67" customWidth="1"/>
    <col min="14594" max="14594" width="10.81640625" style="67" customWidth="1"/>
    <col min="14595" max="14595" width="9.81640625" style="67" customWidth="1"/>
    <col min="14596" max="14596" width="10.81640625" style="67" customWidth="1"/>
    <col min="14597" max="14597" width="0.81640625" style="67" customWidth="1"/>
    <col min="14598" max="14598" width="10.81640625" style="67" customWidth="1"/>
    <col min="14599" max="14599" width="10.54296875" style="67" customWidth="1"/>
    <col min="14600" max="14600" width="10.81640625" style="67" customWidth="1"/>
    <col min="14601" max="14601" width="1.26953125" style="67" customWidth="1"/>
    <col min="14602" max="14603" width="11.54296875" style="67" customWidth="1"/>
    <col min="14604" max="14613" width="0" style="67" hidden="1" customWidth="1"/>
    <col min="14614" max="14614" width="11" style="67" customWidth="1"/>
    <col min="14615" max="14848" width="11.453125" style="67"/>
    <col min="14849" max="14849" width="16.1796875" style="67" customWidth="1"/>
    <col min="14850" max="14850" width="10.81640625" style="67" customWidth="1"/>
    <col min="14851" max="14851" width="9.81640625" style="67" customWidth="1"/>
    <col min="14852" max="14852" width="10.81640625" style="67" customWidth="1"/>
    <col min="14853" max="14853" width="0.81640625" style="67" customWidth="1"/>
    <col min="14854" max="14854" width="10.81640625" style="67" customWidth="1"/>
    <col min="14855" max="14855" width="10.54296875" style="67" customWidth="1"/>
    <col min="14856" max="14856" width="10.81640625" style="67" customWidth="1"/>
    <col min="14857" max="14857" width="1.26953125" style="67" customWidth="1"/>
    <col min="14858" max="14859" width="11.54296875" style="67" customWidth="1"/>
    <col min="14860" max="14869" width="0" style="67" hidden="1" customWidth="1"/>
    <col min="14870" max="14870" width="11" style="67" customWidth="1"/>
    <col min="14871" max="15104" width="11.453125" style="67"/>
    <col min="15105" max="15105" width="16.1796875" style="67" customWidth="1"/>
    <col min="15106" max="15106" width="10.81640625" style="67" customWidth="1"/>
    <col min="15107" max="15107" width="9.81640625" style="67" customWidth="1"/>
    <col min="15108" max="15108" width="10.81640625" style="67" customWidth="1"/>
    <col min="15109" max="15109" width="0.81640625" style="67" customWidth="1"/>
    <col min="15110" max="15110" width="10.81640625" style="67" customWidth="1"/>
    <col min="15111" max="15111" width="10.54296875" style="67" customWidth="1"/>
    <col min="15112" max="15112" width="10.81640625" style="67" customWidth="1"/>
    <col min="15113" max="15113" width="1.26953125" style="67" customWidth="1"/>
    <col min="15114" max="15115" width="11.54296875" style="67" customWidth="1"/>
    <col min="15116" max="15125" width="0" style="67" hidden="1" customWidth="1"/>
    <col min="15126" max="15126" width="11" style="67" customWidth="1"/>
    <col min="15127" max="15360" width="11.453125" style="67"/>
    <col min="15361" max="15361" width="16.1796875" style="67" customWidth="1"/>
    <col min="15362" max="15362" width="10.81640625" style="67" customWidth="1"/>
    <col min="15363" max="15363" width="9.81640625" style="67" customWidth="1"/>
    <col min="15364" max="15364" width="10.81640625" style="67" customWidth="1"/>
    <col min="15365" max="15365" width="0.81640625" style="67" customWidth="1"/>
    <col min="15366" max="15366" width="10.81640625" style="67" customWidth="1"/>
    <col min="15367" max="15367" width="10.54296875" style="67" customWidth="1"/>
    <col min="15368" max="15368" width="10.81640625" style="67" customWidth="1"/>
    <col min="15369" max="15369" width="1.26953125" style="67" customWidth="1"/>
    <col min="15370" max="15371" width="11.54296875" style="67" customWidth="1"/>
    <col min="15372" max="15381" width="0" style="67" hidden="1" customWidth="1"/>
    <col min="15382" max="15382" width="11" style="67" customWidth="1"/>
    <col min="15383" max="15616" width="11.453125" style="67"/>
    <col min="15617" max="15617" width="16.1796875" style="67" customWidth="1"/>
    <col min="15618" max="15618" width="10.81640625" style="67" customWidth="1"/>
    <col min="15619" max="15619" width="9.81640625" style="67" customWidth="1"/>
    <col min="15620" max="15620" width="10.81640625" style="67" customWidth="1"/>
    <col min="15621" max="15621" width="0.81640625" style="67" customWidth="1"/>
    <col min="15622" max="15622" width="10.81640625" style="67" customWidth="1"/>
    <col min="15623" max="15623" width="10.54296875" style="67" customWidth="1"/>
    <col min="15624" max="15624" width="10.81640625" style="67" customWidth="1"/>
    <col min="15625" max="15625" width="1.26953125" style="67" customWidth="1"/>
    <col min="15626" max="15627" width="11.54296875" style="67" customWidth="1"/>
    <col min="15628" max="15637" width="0" style="67" hidden="1" customWidth="1"/>
    <col min="15638" max="15638" width="11" style="67" customWidth="1"/>
    <col min="15639" max="15872" width="11.453125" style="67"/>
    <col min="15873" max="15873" width="16.1796875" style="67" customWidth="1"/>
    <col min="15874" max="15874" width="10.81640625" style="67" customWidth="1"/>
    <col min="15875" max="15875" width="9.81640625" style="67" customWidth="1"/>
    <col min="15876" max="15876" width="10.81640625" style="67" customWidth="1"/>
    <col min="15877" max="15877" width="0.81640625" style="67" customWidth="1"/>
    <col min="15878" max="15878" width="10.81640625" style="67" customWidth="1"/>
    <col min="15879" max="15879" width="10.54296875" style="67" customWidth="1"/>
    <col min="15880" max="15880" width="10.81640625" style="67" customWidth="1"/>
    <col min="15881" max="15881" width="1.26953125" style="67" customWidth="1"/>
    <col min="15882" max="15883" width="11.54296875" style="67" customWidth="1"/>
    <col min="15884" max="15893" width="0" style="67" hidden="1" customWidth="1"/>
    <col min="15894" max="15894" width="11" style="67" customWidth="1"/>
    <col min="15895" max="16128" width="11.453125" style="67"/>
    <col min="16129" max="16129" width="16.1796875" style="67" customWidth="1"/>
    <col min="16130" max="16130" width="10.81640625" style="67" customWidth="1"/>
    <col min="16131" max="16131" width="9.81640625" style="67" customWidth="1"/>
    <col min="16132" max="16132" width="10.81640625" style="67" customWidth="1"/>
    <col min="16133" max="16133" width="0.81640625" style="67" customWidth="1"/>
    <col min="16134" max="16134" width="10.81640625" style="67" customWidth="1"/>
    <col min="16135" max="16135" width="10.54296875" style="67" customWidth="1"/>
    <col min="16136" max="16136" width="10.81640625" style="67" customWidth="1"/>
    <col min="16137" max="16137" width="1.26953125" style="67" customWidth="1"/>
    <col min="16138" max="16139" width="11.54296875" style="67" customWidth="1"/>
    <col min="16140" max="16149" width="0" style="67" hidden="1" customWidth="1"/>
    <col min="16150" max="16150" width="11" style="67" customWidth="1"/>
    <col min="16151" max="16384" width="11.453125" style="67"/>
  </cols>
  <sheetData>
    <row r="1" spans="1:24" ht="14" x14ac:dyDescent="0.3">
      <c r="A1" s="6" t="s">
        <v>157</v>
      </c>
      <c r="B1" s="7"/>
      <c r="C1" s="7"/>
      <c r="D1" s="7"/>
      <c r="E1" s="8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/>
    </row>
    <row r="2" spans="1:24" ht="14" x14ac:dyDescent="0.3">
      <c r="A2" s="6"/>
      <c r="B2" s="7"/>
      <c r="C2" s="7"/>
      <c r="D2" s="7"/>
      <c r="E2" s="8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</row>
    <row r="3" spans="1:24" x14ac:dyDescent="0.25">
      <c r="A3" s="66"/>
      <c r="B3" s="61"/>
      <c r="C3" s="61"/>
      <c r="D3" s="61"/>
      <c r="E3" s="58"/>
      <c r="F3" s="61"/>
      <c r="G3" s="61"/>
      <c r="H3" s="61"/>
      <c r="I3" s="58"/>
      <c r="J3" s="58"/>
      <c r="K3" s="58"/>
      <c r="L3" s="58"/>
      <c r="M3" s="58"/>
      <c r="N3" s="58"/>
      <c r="O3" s="58"/>
      <c r="P3" s="58"/>
      <c r="Q3" s="58"/>
      <c r="R3" s="16"/>
      <c r="S3" s="16"/>
      <c r="T3" s="51"/>
      <c r="U3" s="115"/>
      <c r="V3" s="115"/>
    </row>
    <row r="4" spans="1:24" x14ac:dyDescent="0.25">
      <c r="A4" s="74"/>
      <c r="B4" s="75" t="s">
        <v>158</v>
      </c>
      <c r="C4" s="75"/>
      <c r="D4" s="75"/>
      <c r="E4" s="76"/>
      <c r="F4" s="75" t="s">
        <v>159</v>
      </c>
      <c r="G4" s="75"/>
      <c r="H4" s="75"/>
      <c r="I4" s="76"/>
      <c r="J4" s="178"/>
      <c r="K4" s="178"/>
      <c r="L4" s="340" t="s">
        <v>160</v>
      </c>
      <c r="M4" s="340"/>
      <c r="N4" s="340"/>
      <c r="O4" s="340"/>
      <c r="P4" s="340"/>
      <c r="Q4" s="340"/>
      <c r="R4" s="340"/>
      <c r="S4" s="340"/>
      <c r="T4" s="340"/>
      <c r="U4" s="340"/>
      <c r="V4" s="202"/>
    </row>
    <row r="5" spans="1:24" x14ac:dyDescent="0.25">
      <c r="A5" s="77"/>
      <c r="B5" s="78" t="s">
        <v>56</v>
      </c>
      <c r="C5" s="78" t="s">
        <v>57</v>
      </c>
      <c r="D5" s="78"/>
      <c r="E5" s="79"/>
      <c r="F5" s="78" t="s">
        <v>56</v>
      </c>
      <c r="G5" s="78" t="s">
        <v>57</v>
      </c>
      <c r="H5" s="78"/>
      <c r="I5" s="79"/>
      <c r="J5" s="79"/>
      <c r="K5" s="79"/>
      <c r="L5" s="203"/>
      <c r="M5" s="20"/>
      <c r="N5" s="79"/>
      <c r="O5" s="203"/>
      <c r="P5" s="79"/>
      <c r="Q5" s="203"/>
      <c r="R5" s="79"/>
      <c r="S5" s="203"/>
      <c r="T5" s="204"/>
      <c r="U5" s="205"/>
      <c r="V5" s="202"/>
    </row>
    <row r="6" spans="1:24" x14ac:dyDescent="0.25">
      <c r="A6" s="22"/>
      <c r="B6" s="23" t="s">
        <v>58</v>
      </c>
      <c r="C6" s="23" t="s">
        <v>58</v>
      </c>
      <c r="D6" s="23" t="s">
        <v>35</v>
      </c>
      <c r="E6" s="25"/>
      <c r="F6" s="23" t="s">
        <v>58</v>
      </c>
      <c r="G6" s="23" t="s">
        <v>58</v>
      </c>
      <c r="H6" s="23" t="s">
        <v>35</v>
      </c>
      <c r="I6" s="25"/>
      <c r="J6" s="206">
        <v>2019</v>
      </c>
      <c r="K6" s="206">
        <v>2018</v>
      </c>
      <c r="L6" s="206">
        <v>2015</v>
      </c>
      <c r="M6" s="206">
        <v>2008</v>
      </c>
      <c r="N6" s="206">
        <v>2005</v>
      </c>
      <c r="O6" s="206">
        <v>2003</v>
      </c>
      <c r="P6" s="206">
        <v>2002</v>
      </c>
      <c r="Q6" s="206">
        <v>2001</v>
      </c>
      <c r="R6" s="206">
        <v>2000</v>
      </c>
      <c r="S6" s="207">
        <v>1999</v>
      </c>
      <c r="T6" s="207">
        <v>1998</v>
      </c>
      <c r="U6" s="207">
        <v>1997</v>
      </c>
      <c r="V6" s="24" t="s">
        <v>161</v>
      </c>
    </row>
    <row r="7" spans="1:24" x14ac:dyDescent="0.25">
      <c r="A7" s="208"/>
      <c r="B7" s="209"/>
      <c r="C7" s="209"/>
      <c r="D7" s="209"/>
      <c r="E7" s="21"/>
      <c r="F7" s="209"/>
      <c r="G7" s="209"/>
      <c r="H7" s="209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09"/>
      <c r="X7" s="210"/>
    </row>
    <row r="8" spans="1:24" ht="13" x14ac:dyDescent="0.3">
      <c r="A8" s="208" t="s">
        <v>162</v>
      </c>
      <c r="B8" s="209"/>
      <c r="C8" s="209"/>
      <c r="D8" s="209"/>
      <c r="E8" s="21"/>
      <c r="F8" s="209"/>
      <c r="G8" s="209"/>
      <c r="H8" s="209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9"/>
      <c r="X8" s="211"/>
    </row>
    <row r="9" spans="1:24" x14ac:dyDescent="0.25">
      <c r="A9" s="208"/>
      <c r="B9" s="212"/>
      <c r="C9" s="212"/>
      <c r="D9" s="212"/>
      <c r="E9" s="213"/>
      <c r="F9" s="212"/>
      <c r="G9" s="212"/>
      <c r="H9" s="212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2"/>
      <c r="U9" s="214"/>
      <c r="V9" s="214"/>
      <c r="W9" s="210"/>
      <c r="X9" s="215"/>
    </row>
    <row r="10" spans="1:24" x14ac:dyDescent="0.25">
      <c r="A10" s="216" t="s">
        <v>39</v>
      </c>
      <c r="B10" s="197">
        <v>91424</v>
      </c>
      <c r="C10" s="197">
        <v>6253</v>
      </c>
      <c r="D10" s="197">
        <v>97677</v>
      </c>
      <c r="E10" s="217"/>
      <c r="F10" s="197">
        <v>235633</v>
      </c>
      <c r="G10" s="197">
        <f>H10-F10</f>
        <v>11253</v>
      </c>
      <c r="H10" s="197">
        <v>246886</v>
      </c>
      <c r="I10" s="102"/>
      <c r="J10" s="102">
        <v>344563</v>
      </c>
      <c r="K10" s="102">
        <v>335651</v>
      </c>
      <c r="L10" s="102">
        <v>288879</v>
      </c>
      <c r="M10" s="102">
        <v>314435</v>
      </c>
      <c r="N10" s="102">
        <v>300254</v>
      </c>
      <c r="O10" s="102">
        <v>276214</v>
      </c>
      <c r="P10" s="102">
        <v>265463</v>
      </c>
      <c r="Q10" s="102">
        <v>268136</v>
      </c>
      <c r="R10" s="102">
        <v>252196</v>
      </c>
      <c r="S10" s="102">
        <v>228638</v>
      </c>
      <c r="T10" s="197">
        <v>212358</v>
      </c>
      <c r="U10" s="197">
        <v>206929</v>
      </c>
      <c r="V10" s="218">
        <f>(J10-K10)/K10</f>
        <v>2.6551388197860279E-2</v>
      </c>
      <c r="W10" s="219"/>
    </row>
    <row r="11" spans="1:24" x14ac:dyDescent="0.25">
      <c r="A11" s="220" t="s">
        <v>40</v>
      </c>
      <c r="B11" s="195">
        <v>1</v>
      </c>
      <c r="C11" s="195">
        <v>4231</v>
      </c>
      <c r="D11" s="195">
        <v>4232</v>
      </c>
      <c r="E11" s="221"/>
      <c r="F11" s="195">
        <v>10962</v>
      </c>
      <c r="G11" s="195">
        <f>H11-F11</f>
        <v>3059</v>
      </c>
      <c r="H11" s="195">
        <f>J11-D11</f>
        <v>14021</v>
      </c>
      <c r="I11" s="80"/>
      <c r="J11" s="80">
        <v>18253</v>
      </c>
      <c r="K11" s="80">
        <v>17870</v>
      </c>
      <c r="L11" s="80">
        <v>19529</v>
      </c>
      <c r="M11" s="80">
        <v>40218</v>
      </c>
      <c r="N11" s="80">
        <v>23682</v>
      </c>
      <c r="O11" s="80">
        <v>10391</v>
      </c>
      <c r="P11" s="80">
        <v>5333</v>
      </c>
      <c r="Q11" s="80">
        <v>5291</v>
      </c>
      <c r="R11" s="80">
        <v>5581</v>
      </c>
      <c r="S11" s="80">
        <v>4896</v>
      </c>
      <c r="T11" s="195">
        <v>4934</v>
      </c>
      <c r="U11" s="195">
        <v>3849</v>
      </c>
      <c r="V11" s="222">
        <f>(J11-K11)/K11</f>
        <v>2.1432568550643537E-2</v>
      </c>
      <c r="W11" s="219"/>
    </row>
    <row r="12" spans="1:24" x14ac:dyDescent="0.25">
      <c r="A12" s="216" t="s">
        <v>41</v>
      </c>
      <c r="B12" s="197">
        <v>37</v>
      </c>
      <c r="C12" s="197">
        <v>10937</v>
      </c>
      <c r="D12" s="197">
        <v>10974</v>
      </c>
      <c r="E12" s="217"/>
      <c r="F12" s="223">
        <v>4676</v>
      </c>
      <c r="G12" s="197">
        <f>H12-F12</f>
        <v>2029</v>
      </c>
      <c r="H12" s="197">
        <v>6705</v>
      </c>
      <c r="I12" s="102"/>
      <c r="J12" s="102">
        <v>17679</v>
      </c>
      <c r="K12" s="102">
        <v>16855</v>
      </c>
      <c r="L12" s="102">
        <v>13533</v>
      </c>
      <c r="M12" s="102">
        <v>8249</v>
      </c>
      <c r="N12" s="102">
        <v>9570</v>
      </c>
      <c r="O12" s="102">
        <v>5899</v>
      </c>
      <c r="P12" s="102">
        <v>5229</v>
      </c>
      <c r="Q12" s="102">
        <v>5075</v>
      </c>
      <c r="R12" s="102">
        <v>4944</v>
      </c>
      <c r="S12" s="102">
        <v>4439</v>
      </c>
      <c r="T12" s="197">
        <v>4179</v>
      </c>
      <c r="U12" s="197">
        <v>4118</v>
      </c>
      <c r="V12" s="218">
        <f>(J12-K12)/K12</f>
        <v>4.8887570453871258E-2</v>
      </c>
      <c r="W12" s="219"/>
    </row>
    <row r="13" spans="1:24" s="65" customFormat="1" ht="13" x14ac:dyDescent="0.3">
      <c r="A13" s="224" t="s">
        <v>44</v>
      </c>
      <c r="B13" s="225">
        <f>B10+B11+B12</f>
        <v>91462</v>
      </c>
      <c r="C13" s="225">
        <f t="shared" ref="C13:G13" si="0">C10+C11+C12</f>
        <v>21421</v>
      </c>
      <c r="D13" s="225">
        <f t="shared" si="0"/>
        <v>112883</v>
      </c>
      <c r="E13" s="225">
        <f t="shared" si="0"/>
        <v>0</v>
      </c>
      <c r="F13" s="225">
        <f t="shared" si="0"/>
        <v>251271</v>
      </c>
      <c r="G13" s="225">
        <f t="shared" si="0"/>
        <v>16341</v>
      </c>
      <c r="H13" s="225">
        <f>H10+H11+H12</f>
        <v>267612</v>
      </c>
      <c r="I13" s="225">
        <f>SUM(I10:I12)</f>
        <v>0</v>
      </c>
      <c r="J13" s="225">
        <f>SUM(J10:J12)</f>
        <v>380495</v>
      </c>
      <c r="K13" s="225">
        <f>SUM(K10:K12)</f>
        <v>370376</v>
      </c>
      <c r="L13" s="225">
        <f>L10+L11+L12</f>
        <v>321941</v>
      </c>
      <c r="M13" s="225">
        <v>362902</v>
      </c>
      <c r="N13" s="226">
        <v>333506</v>
      </c>
      <c r="O13" s="226">
        <v>300685</v>
      </c>
      <c r="P13" s="226">
        <v>276025</v>
      </c>
      <c r="Q13" s="226">
        <v>278502</v>
      </c>
      <c r="R13" s="226">
        <v>262721</v>
      </c>
      <c r="S13" s="225">
        <v>237973</v>
      </c>
      <c r="T13" s="225">
        <f>SUM(T10:T12)</f>
        <v>221471</v>
      </c>
      <c r="U13" s="225">
        <f>SUM(U10:U12)</f>
        <v>214896</v>
      </c>
      <c r="V13" s="227">
        <f>(J13-K13)/K13</f>
        <v>2.7320884722552216E-2</v>
      </c>
      <c r="W13" s="211"/>
    </row>
    <row r="14" spans="1:24" x14ac:dyDescent="0.25">
      <c r="A14" s="216"/>
      <c r="B14" s="228"/>
      <c r="C14" s="228"/>
      <c r="D14" s="228"/>
      <c r="E14" s="228"/>
      <c r="F14" s="228"/>
      <c r="G14" s="228"/>
      <c r="H14" s="228"/>
      <c r="I14" s="197"/>
      <c r="J14" s="197"/>
      <c r="K14" s="197"/>
      <c r="L14" s="197"/>
      <c r="M14" s="197"/>
      <c r="N14" s="102"/>
      <c r="O14" s="197"/>
      <c r="P14" s="197"/>
      <c r="Q14" s="102"/>
      <c r="R14" s="102"/>
      <c r="S14" s="197"/>
      <c r="T14" s="197"/>
      <c r="U14" s="197"/>
      <c r="V14" s="218"/>
      <c r="W14" s="219"/>
    </row>
    <row r="15" spans="1:24" s="65" customFormat="1" ht="13" x14ac:dyDescent="0.3">
      <c r="A15" s="224" t="s">
        <v>45</v>
      </c>
      <c r="B15" s="225">
        <v>780561</v>
      </c>
      <c r="C15" s="225">
        <v>330148</v>
      </c>
      <c r="D15" s="225">
        <v>1110709</v>
      </c>
      <c r="E15" s="229"/>
      <c r="F15" s="225">
        <v>1114822</v>
      </c>
      <c r="G15" s="225">
        <v>135514</v>
      </c>
      <c r="H15" s="225">
        <f>J15-D15</f>
        <v>1250336</v>
      </c>
      <c r="I15" s="226"/>
      <c r="J15" s="226">
        <v>2361045</v>
      </c>
      <c r="K15" s="226">
        <v>2300189</v>
      </c>
      <c r="L15" s="226">
        <v>1902967</v>
      </c>
      <c r="M15" s="226">
        <v>2021005</v>
      </c>
      <c r="N15" s="226">
        <v>1845575</v>
      </c>
      <c r="O15" s="226">
        <v>1592335</v>
      </c>
      <c r="P15" s="226">
        <v>1495355</v>
      </c>
      <c r="Q15" s="226">
        <v>1529490</v>
      </c>
      <c r="R15" s="226">
        <v>1497107</v>
      </c>
      <c r="S15" s="226">
        <v>1376782</v>
      </c>
      <c r="T15" s="225">
        <v>1253714</v>
      </c>
      <c r="U15" s="225">
        <v>1200772</v>
      </c>
      <c r="V15" s="227">
        <f>(J15-K15)/K15</f>
        <v>2.6456956363151027E-2</v>
      </c>
      <c r="W15" s="211"/>
    </row>
    <row r="16" spans="1:24" x14ac:dyDescent="0.25">
      <c r="A16" s="230" t="s">
        <v>163</v>
      </c>
      <c r="B16" s="231">
        <f>B13/B15</f>
        <v>0.11717469871028657</v>
      </c>
      <c r="C16" s="231">
        <f>C13/C15</f>
        <v>6.4883022159758649E-2</v>
      </c>
      <c r="D16" s="231">
        <f t="shared" ref="D16:G16" si="1">D13/D15</f>
        <v>0.10163148043276862</v>
      </c>
      <c r="E16" s="232" t="e">
        <f t="shared" si="1"/>
        <v>#DIV/0!</v>
      </c>
      <c r="F16" s="231">
        <f t="shared" si="1"/>
        <v>0.22539113867505306</v>
      </c>
      <c r="G16" s="231">
        <f t="shared" si="1"/>
        <v>0.12058532697728648</v>
      </c>
      <c r="H16" s="231">
        <f>H13/H15</f>
        <v>0.2140320681800732</v>
      </c>
      <c r="I16" s="231" t="e">
        <f>I13/I15</f>
        <v>#DIV/0!</v>
      </c>
      <c r="J16" s="231">
        <f>J13/J15</f>
        <v>0.16115533587881636</v>
      </c>
      <c r="K16" s="231">
        <f>K13/K15</f>
        <v>0.16101981185024361</v>
      </c>
      <c r="L16" s="233">
        <f>L13/L15</f>
        <v>0.16917844607920157</v>
      </c>
      <c r="M16" s="233">
        <v>0.17956511735497932</v>
      </c>
      <c r="N16" s="233">
        <v>0.18070574211289164</v>
      </c>
      <c r="O16" s="233">
        <f>O13/O15</f>
        <v>0.1888327519020809</v>
      </c>
      <c r="P16" s="233">
        <f>P13/P15</f>
        <v>0.18458827502499406</v>
      </c>
      <c r="Q16" s="233">
        <v>0.18208814702940196</v>
      </c>
      <c r="R16" s="233">
        <v>0.17548578692104172</v>
      </c>
      <c r="S16" s="233">
        <v>0.17284726267484612</v>
      </c>
      <c r="T16" s="233">
        <f>T13/T15</f>
        <v>0.1766519317802944</v>
      </c>
      <c r="U16" s="233">
        <f>U13/U15</f>
        <v>0.17896486593624769</v>
      </c>
      <c r="V16" s="234"/>
      <c r="W16" s="219"/>
    </row>
    <row r="17" spans="1:23" x14ac:dyDescent="0.25">
      <c r="A17" s="216"/>
      <c r="B17" s="228"/>
      <c r="C17" s="228"/>
      <c r="D17" s="228"/>
      <c r="E17" s="217"/>
      <c r="F17" s="228"/>
      <c r="G17" s="228"/>
      <c r="H17" s="228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97"/>
      <c r="U17" s="219"/>
      <c r="V17" s="218"/>
      <c r="W17" s="219"/>
    </row>
    <row r="18" spans="1:23" x14ac:dyDescent="0.25">
      <c r="A18" s="208" t="s">
        <v>164</v>
      </c>
      <c r="B18" s="228"/>
      <c r="C18" s="228"/>
      <c r="D18" s="228"/>
      <c r="E18" s="217"/>
      <c r="F18" s="228"/>
      <c r="G18" s="228"/>
      <c r="H18" s="228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97"/>
      <c r="U18" s="219"/>
      <c r="V18" s="218"/>
      <c r="W18" s="219"/>
    </row>
    <row r="19" spans="1:23" x14ac:dyDescent="0.25">
      <c r="A19" s="208"/>
      <c r="B19" s="228"/>
      <c r="C19" s="228"/>
      <c r="D19" s="228"/>
      <c r="E19" s="217"/>
      <c r="F19" s="228"/>
      <c r="G19" s="228"/>
      <c r="H19" s="228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97"/>
      <c r="U19" s="219"/>
      <c r="V19" s="218"/>
      <c r="W19" s="219"/>
    </row>
    <row r="20" spans="1:23" x14ac:dyDescent="0.25">
      <c r="A20" s="216" t="s">
        <v>39</v>
      </c>
      <c r="B20" s="197">
        <v>13983577</v>
      </c>
      <c r="C20" s="197">
        <v>34038</v>
      </c>
      <c r="D20" s="197">
        <v>14017615</v>
      </c>
      <c r="E20" s="217"/>
      <c r="F20" s="223">
        <v>38142472</v>
      </c>
      <c r="G20" s="197">
        <v>528368</v>
      </c>
      <c r="H20" s="197">
        <v>38670840</v>
      </c>
      <c r="I20" s="102"/>
      <c r="J20" s="102">
        <v>52688455</v>
      </c>
      <c r="K20" s="102">
        <v>50172457</v>
      </c>
      <c r="L20" s="102">
        <v>39711237</v>
      </c>
      <c r="M20" s="102">
        <v>30169663</v>
      </c>
      <c r="N20" s="102">
        <v>26941215</v>
      </c>
      <c r="O20" s="102">
        <v>22541624</v>
      </c>
      <c r="P20" s="102">
        <v>21168997</v>
      </c>
      <c r="Q20" s="102">
        <v>20545680</v>
      </c>
      <c r="R20" s="102">
        <v>19375338</v>
      </c>
      <c r="S20" s="102">
        <v>17128668</v>
      </c>
      <c r="T20" s="197">
        <v>15746291</v>
      </c>
      <c r="U20" s="197">
        <v>14562498</v>
      </c>
      <c r="V20" s="218">
        <f>(J20-K20)/K20</f>
        <v>5.0146995990250187E-2</v>
      </c>
      <c r="W20" s="219"/>
    </row>
    <row r="21" spans="1:23" x14ac:dyDescent="0.25">
      <c r="A21" s="220" t="s">
        <v>40</v>
      </c>
      <c r="B21" s="195">
        <v>3</v>
      </c>
      <c r="C21" s="195">
        <v>9909</v>
      </c>
      <c r="D21" s="195">
        <v>9912</v>
      </c>
      <c r="E21" s="221"/>
      <c r="F21" s="235">
        <v>1804758</v>
      </c>
      <c r="G21" s="195">
        <v>118379</v>
      </c>
      <c r="H21" s="195">
        <v>1923137</v>
      </c>
      <c r="I21" s="80"/>
      <c r="J21" s="80">
        <v>1933049</v>
      </c>
      <c r="K21" s="80">
        <v>2019876</v>
      </c>
      <c r="L21" s="80">
        <v>1775326</v>
      </c>
      <c r="M21" s="80">
        <v>5485868</v>
      </c>
      <c r="N21" s="80">
        <v>3513612</v>
      </c>
      <c r="O21" s="80">
        <v>1427885</v>
      </c>
      <c r="P21" s="80">
        <v>534183</v>
      </c>
      <c r="Q21" s="80">
        <v>602488</v>
      </c>
      <c r="R21" s="80">
        <v>627222</v>
      </c>
      <c r="S21" s="80">
        <v>606411</v>
      </c>
      <c r="T21" s="195">
        <v>585734</v>
      </c>
      <c r="U21" s="195">
        <v>506924</v>
      </c>
      <c r="V21" s="222">
        <f>(J21-K21)/K21</f>
        <v>-4.2986302129437652E-2</v>
      </c>
      <c r="W21" s="219"/>
    </row>
    <row r="22" spans="1:23" x14ac:dyDescent="0.25">
      <c r="A22" s="216" t="s">
        <v>41</v>
      </c>
      <c r="B22" s="197">
        <v>3216</v>
      </c>
      <c r="C22" s="197">
        <v>6832</v>
      </c>
      <c r="D22" s="197">
        <v>10048</v>
      </c>
      <c r="E22" s="217"/>
      <c r="F22" s="223">
        <v>798263</v>
      </c>
      <c r="G22" s="197">
        <v>237938</v>
      </c>
      <c r="H22" s="197">
        <v>1036201</v>
      </c>
      <c r="I22" s="102"/>
      <c r="J22" s="102">
        <v>1046249</v>
      </c>
      <c r="K22" s="102">
        <v>1037576</v>
      </c>
      <c r="L22" s="102">
        <v>705038</v>
      </c>
      <c r="M22" s="102">
        <v>1267992</v>
      </c>
      <c r="N22" s="102">
        <v>1351608</v>
      </c>
      <c r="O22" s="102">
        <v>837563</v>
      </c>
      <c r="P22" s="102">
        <v>753504</v>
      </c>
      <c r="Q22" s="102">
        <v>733033</v>
      </c>
      <c r="R22" s="102">
        <v>686282</v>
      </c>
      <c r="S22" s="102">
        <v>617419</v>
      </c>
      <c r="T22" s="197">
        <v>556446</v>
      </c>
      <c r="U22" s="197">
        <v>517736</v>
      </c>
      <c r="V22" s="218">
        <f>(J22-K22)/K22</f>
        <v>8.3589057572650092E-3</v>
      </c>
      <c r="W22" s="219"/>
    </row>
    <row r="23" spans="1:23" s="65" customFormat="1" ht="13" x14ac:dyDescent="0.3">
      <c r="A23" s="224" t="s">
        <v>44</v>
      </c>
      <c r="B23" s="225">
        <f>B20+B21+B22</f>
        <v>13986796</v>
      </c>
      <c r="C23" s="225">
        <f t="shared" ref="C23:H23" si="2">C20+C21+C22</f>
        <v>50779</v>
      </c>
      <c r="D23" s="225">
        <f>D20+D21+D22</f>
        <v>14037575</v>
      </c>
      <c r="E23" s="236">
        <f t="shared" si="2"/>
        <v>0</v>
      </c>
      <c r="F23" s="225">
        <f t="shared" si="2"/>
        <v>40745493</v>
      </c>
      <c r="G23" s="225">
        <f t="shared" si="2"/>
        <v>884685</v>
      </c>
      <c r="H23" s="225">
        <f t="shared" si="2"/>
        <v>41630178</v>
      </c>
      <c r="I23" s="225"/>
      <c r="J23" s="225">
        <v>55667753</v>
      </c>
      <c r="K23" s="225">
        <v>53229909</v>
      </c>
      <c r="L23" s="225">
        <f>L20+L21+L22</f>
        <v>42191601</v>
      </c>
      <c r="M23" s="225">
        <v>36923523</v>
      </c>
      <c r="N23" s="226">
        <v>31806435</v>
      </c>
      <c r="O23" s="226">
        <v>24807072</v>
      </c>
      <c r="P23" s="226">
        <v>22456684</v>
      </c>
      <c r="Q23" s="226">
        <v>21881201</v>
      </c>
      <c r="R23" s="226">
        <v>20688842</v>
      </c>
      <c r="S23" s="225">
        <v>18352498</v>
      </c>
      <c r="T23" s="225">
        <f>SUM(T20:T22)</f>
        <v>16888471</v>
      </c>
      <c r="U23" s="225">
        <f>SUM(U20:U22)</f>
        <v>15587158</v>
      </c>
      <c r="V23" s="227">
        <f>(J23-K23)/K23</f>
        <v>4.5798387519317384E-2</v>
      </c>
      <c r="W23" s="211"/>
    </row>
    <row r="24" spans="1:23" x14ac:dyDescent="0.25">
      <c r="A24" s="216"/>
      <c r="B24" s="228"/>
      <c r="C24" s="228"/>
      <c r="D24" s="228"/>
      <c r="E24" s="228"/>
      <c r="F24" s="228"/>
      <c r="G24" s="228"/>
      <c r="H24" s="228"/>
      <c r="I24" s="197"/>
      <c r="J24" s="197"/>
      <c r="K24" s="197"/>
      <c r="L24" s="197"/>
      <c r="M24" s="197"/>
      <c r="N24" s="197"/>
      <c r="O24" s="102"/>
      <c r="P24" s="197"/>
      <c r="Q24" s="102"/>
      <c r="R24" s="102"/>
      <c r="S24" s="197"/>
      <c r="T24" s="197"/>
      <c r="U24" s="197"/>
      <c r="V24" s="218"/>
      <c r="W24" s="219"/>
    </row>
    <row r="25" spans="1:23" s="65" customFormat="1" ht="13" x14ac:dyDescent="0.3">
      <c r="A25" s="224" t="s">
        <v>45</v>
      </c>
      <c r="B25" s="225">
        <v>85386843</v>
      </c>
      <c r="C25" s="225">
        <v>548094</v>
      </c>
      <c r="D25" s="225">
        <v>85934937</v>
      </c>
      <c r="E25" s="229"/>
      <c r="F25" s="225">
        <v>884147</v>
      </c>
      <c r="G25" s="225">
        <v>59387</v>
      </c>
      <c r="H25" s="225">
        <v>943534</v>
      </c>
      <c r="I25" s="226"/>
      <c r="J25" s="226">
        <v>275247387</v>
      </c>
      <c r="K25" s="226">
        <v>263753406</v>
      </c>
      <c r="L25" s="226">
        <v>207421046</v>
      </c>
      <c r="M25" s="226">
        <v>202238398</v>
      </c>
      <c r="N25" s="226">
        <v>179047362</v>
      </c>
      <c r="O25" s="226">
        <v>151733359</v>
      </c>
      <c r="P25" s="226">
        <v>141239896</v>
      </c>
      <c r="Q25" s="226">
        <v>142732204</v>
      </c>
      <c r="R25" s="226">
        <v>138614266</v>
      </c>
      <c r="S25" s="226">
        <v>126693764</v>
      </c>
      <c r="T25" s="225">
        <v>116369633</v>
      </c>
      <c r="U25" s="225">
        <v>108652483</v>
      </c>
      <c r="V25" s="227">
        <f>(J25-K25)/K25</f>
        <v>4.3578512119763865E-2</v>
      </c>
      <c r="W25" s="211"/>
    </row>
    <row r="26" spans="1:23" x14ac:dyDescent="0.25">
      <c r="A26" s="230" t="s">
        <v>163</v>
      </c>
      <c r="B26" s="231">
        <f>B23/B25</f>
        <v>0.1638050489816095</v>
      </c>
      <c r="C26" s="231">
        <f t="shared" ref="C26:U26" si="3">C23/C25</f>
        <v>9.2646516838352552E-2</v>
      </c>
      <c r="D26" s="231">
        <f t="shared" si="3"/>
        <v>0.16335119905888801</v>
      </c>
      <c r="E26" s="232" t="e">
        <f t="shared" si="3"/>
        <v>#DIV/0!</v>
      </c>
      <c r="F26" s="231">
        <f t="shared" si="3"/>
        <v>46.084523274975766</v>
      </c>
      <c r="G26" s="231">
        <f t="shared" si="3"/>
        <v>14.896947143314193</v>
      </c>
      <c r="H26" s="231">
        <f t="shared" si="3"/>
        <v>44.121545169543438</v>
      </c>
      <c r="I26" s="231" t="e">
        <f t="shared" si="3"/>
        <v>#DIV/0!</v>
      </c>
      <c r="J26" s="231">
        <f>J23/J25</f>
        <v>0.20224625420331419</v>
      </c>
      <c r="K26" s="231">
        <f>K23/K25</f>
        <v>0.20181695397707963</v>
      </c>
      <c r="L26" s="233">
        <f>L23/L25</f>
        <v>0.2034104147753647</v>
      </c>
      <c r="M26" s="233">
        <v>0.18257424586601007</v>
      </c>
      <c r="N26" s="233">
        <v>0.17764257816878642</v>
      </c>
      <c r="O26" s="233">
        <f t="shared" si="3"/>
        <v>0.16349122014757481</v>
      </c>
      <c r="P26" s="233">
        <f t="shared" si="3"/>
        <v>0.15899674692482074</v>
      </c>
      <c r="Q26" s="233">
        <f t="shared" si="3"/>
        <v>0.15330248105746339</v>
      </c>
      <c r="R26" s="233">
        <f t="shared" si="3"/>
        <v>0.14925478161100678</v>
      </c>
      <c r="S26" s="233">
        <f t="shared" si="3"/>
        <v>0.14485715334813165</v>
      </c>
      <c r="T26" s="233">
        <f t="shared" si="3"/>
        <v>0.14512781869819938</v>
      </c>
      <c r="U26" s="233">
        <f t="shared" si="3"/>
        <v>0.14345882919215017</v>
      </c>
      <c r="V26" s="234"/>
      <c r="W26" s="214"/>
    </row>
    <row r="27" spans="1:23" x14ac:dyDescent="0.25">
      <c r="A27" s="216"/>
      <c r="B27" s="228"/>
      <c r="C27" s="228"/>
      <c r="D27" s="228"/>
      <c r="E27" s="217"/>
      <c r="F27" s="228"/>
      <c r="G27" s="228"/>
      <c r="H27" s="228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97"/>
      <c r="U27" s="219"/>
      <c r="V27" s="218"/>
      <c r="W27" s="219"/>
    </row>
    <row r="28" spans="1:23" x14ac:dyDescent="0.25">
      <c r="A28" s="208" t="s">
        <v>165</v>
      </c>
      <c r="B28" s="228"/>
      <c r="C28" s="228"/>
      <c r="D28" s="228"/>
      <c r="E28" s="217"/>
      <c r="F28" s="228"/>
      <c r="G28" s="228"/>
      <c r="H28" s="228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97"/>
      <c r="U28" s="219"/>
      <c r="V28" s="218"/>
      <c r="W28" s="219"/>
    </row>
    <row r="29" spans="1:23" x14ac:dyDescent="0.25">
      <c r="A29" s="208"/>
      <c r="B29" s="228"/>
      <c r="C29" s="228"/>
      <c r="D29" s="228"/>
      <c r="E29" s="217"/>
      <c r="F29" s="228"/>
      <c r="G29" s="228"/>
      <c r="H29" s="228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97"/>
      <c r="U29" s="219"/>
      <c r="V29" s="218"/>
      <c r="W29" s="219"/>
    </row>
    <row r="30" spans="1:23" x14ac:dyDescent="0.25">
      <c r="A30" s="216" t="s">
        <v>39</v>
      </c>
      <c r="B30" s="197">
        <v>4723</v>
      </c>
      <c r="C30" s="197">
        <v>1490</v>
      </c>
      <c r="D30" s="197">
        <v>6213</v>
      </c>
      <c r="E30" s="217"/>
      <c r="F30" s="197">
        <v>165354</v>
      </c>
      <c r="G30" s="197">
        <v>5242</v>
      </c>
      <c r="H30" s="197">
        <v>170596</v>
      </c>
      <c r="I30" s="102"/>
      <c r="J30" s="102">
        <v>176809</v>
      </c>
      <c r="K30" s="102">
        <v>172939.99799999999</v>
      </c>
      <c r="L30" s="102">
        <v>117219.382</v>
      </c>
      <c r="M30" s="102">
        <v>104124</v>
      </c>
      <c r="N30" s="102">
        <v>90239.415000000008</v>
      </c>
      <c r="O30" s="102">
        <v>70115.654999999999</v>
      </c>
      <c r="P30" s="102">
        <v>75217.385999999999</v>
      </c>
      <c r="Q30" s="102">
        <v>76965.634999999995</v>
      </c>
      <c r="R30" s="102">
        <v>87308.466</v>
      </c>
      <c r="S30" s="102">
        <v>86173.292000000001</v>
      </c>
      <c r="T30" s="197">
        <v>77013</v>
      </c>
      <c r="U30" s="197">
        <v>77930</v>
      </c>
      <c r="V30" s="218">
        <f>(J30-K30)/K30</f>
        <v>2.2371932720850429E-2</v>
      </c>
      <c r="W30" s="219"/>
    </row>
    <row r="31" spans="1:23" x14ac:dyDescent="0.25">
      <c r="A31" s="220" t="s">
        <v>40</v>
      </c>
      <c r="B31" s="195">
        <v>0</v>
      </c>
      <c r="C31" s="195">
        <v>32</v>
      </c>
      <c r="D31" s="195">
        <v>32</v>
      </c>
      <c r="E31" s="221"/>
      <c r="F31" s="195">
        <f>0.37-B31</f>
        <v>0.37</v>
      </c>
      <c r="G31" s="195">
        <v>46</v>
      </c>
      <c r="H31" s="195">
        <v>46</v>
      </c>
      <c r="I31" s="80"/>
      <c r="J31" s="80">
        <v>78</v>
      </c>
      <c r="K31" s="80">
        <v>132.96199999999999</v>
      </c>
      <c r="L31" s="80">
        <v>96.168000000000006</v>
      </c>
      <c r="M31" s="80">
        <v>182</v>
      </c>
      <c r="N31" s="80">
        <v>236.84200000000001</v>
      </c>
      <c r="O31" s="80">
        <v>283.02999999999997</v>
      </c>
      <c r="P31" s="80">
        <v>490.70100000000002</v>
      </c>
      <c r="Q31" s="80">
        <v>172.51900000000001</v>
      </c>
      <c r="R31" s="80">
        <v>382.02799999999996</v>
      </c>
      <c r="S31" s="80">
        <v>217.78199999999998</v>
      </c>
      <c r="T31" s="195">
        <v>202</v>
      </c>
      <c r="U31" s="195">
        <v>55</v>
      </c>
      <c r="V31" s="222">
        <f>(J31-K31)/K31</f>
        <v>-0.41336622493644798</v>
      </c>
      <c r="W31" s="219" t="s">
        <v>166</v>
      </c>
    </row>
    <row r="32" spans="1:23" x14ac:dyDescent="0.25">
      <c r="A32" s="216" t="s">
        <v>41</v>
      </c>
      <c r="B32" s="223">
        <v>0</v>
      </c>
      <c r="C32" s="197">
        <f>D32-B32</f>
        <v>0</v>
      </c>
      <c r="D32" s="197">
        <v>0</v>
      </c>
      <c r="E32" s="102"/>
      <c r="F32" s="197">
        <v>0</v>
      </c>
      <c r="G32" s="197">
        <f>H32-F32</f>
        <v>0</v>
      </c>
      <c r="H32" s="197">
        <f>J32-D32</f>
        <v>0</v>
      </c>
      <c r="I32" s="102"/>
      <c r="J32" s="102"/>
      <c r="K32" s="102">
        <v>0</v>
      </c>
      <c r="L32" s="102">
        <v>0.01</v>
      </c>
      <c r="M32" s="102">
        <v>112</v>
      </c>
      <c r="N32" s="102">
        <v>16.312999999999999</v>
      </c>
      <c r="O32" s="102">
        <v>4.2850000000000001</v>
      </c>
      <c r="P32" s="102">
        <v>8.298</v>
      </c>
      <c r="Q32" s="102">
        <v>6.7029999999999994</v>
      </c>
      <c r="R32" s="102">
        <v>15.326000000000001</v>
      </c>
      <c r="S32" s="102">
        <v>0</v>
      </c>
      <c r="T32" s="197">
        <v>1</v>
      </c>
      <c r="U32" s="197">
        <v>19</v>
      </c>
      <c r="V32" s="218"/>
      <c r="W32" s="219"/>
    </row>
    <row r="33" spans="1:23" s="65" customFormat="1" ht="13" x14ac:dyDescent="0.3">
      <c r="A33" s="224" t="s">
        <v>44</v>
      </c>
      <c r="B33" s="225">
        <f>B30+B31+B32</f>
        <v>4723</v>
      </c>
      <c r="C33" s="225">
        <f>C30+C31+C32</f>
        <v>1522</v>
      </c>
      <c r="D33" s="225">
        <f t="shared" ref="D33:G33" si="4">D30+D31+D32</f>
        <v>6245</v>
      </c>
      <c r="E33" s="236">
        <f t="shared" si="4"/>
        <v>0</v>
      </c>
      <c r="F33" s="225">
        <f t="shared" si="4"/>
        <v>165354.37</v>
      </c>
      <c r="G33" s="225">
        <f t="shared" si="4"/>
        <v>5288</v>
      </c>
      <c r="H33" s="225">
        <f>H30+H31+H32</f>
        <v>170642</v>
      </c>
      <c r="I33" s="225">
        <f>I30+I31+I32</f>
        <v>0</v>
      </c>
      <c r="J33" s="225">
        <f>J30+J31+J32</f>
        <v>176887</v>
      </c>
      <c r="K33" s="225">
        <v>173072.96</v>
      </c>
      <c r="L33" s="225">
        <f>L30+L31+L32</f>
        <v>117315.56</v>
      </c>
      <c r="M33" s="225">
        <v>104418</v>
      </c>
      <c r="N33" s="226">
        <v>90492.57</v>
      </c>
      <c r="O33" s="226">
        <v>70402.97</v>
      </c>
      <c r="P33" s="226">
        <v>75716.385000000009</v>
      </c>
      <c r="Q33" s="226">
        <v>77144.857000000004</v>
      </c>
      <c r="R33" s="226">
        <v>87705.82</v>
      </c>
      <c r="S33" s="225">
        <v>86391.074000000008</v>
      </c>
      <c r="T33" s="225">
        <f>SUM(T30:T32)</f>
        <v>77216</v>
      </c>
      <c r="U33" s="225"/>
      <c r="V33" s="227">
        <f>(J33-K33)/K33</f>
        <v>2.2037180158009709E-2</v>
      </c>
      <c r="W33" s="211"/>
    </row>
    <row r="34" spans="1:23" x14ac:dyDescent="0.25">
      <c r="A34" s="216"/>
      <c r="B34" s="228"/>
      <c r="C34" s="228"/>
      <c r="D34" s="228"/>
      <c r="E34" s="228"/>
      <c r="F34" s="228"/>
      <c r="G34" s="228"/>
      <c r="H34" s="228"/>
      <c r="I34" s="197"/>
      <c r="J34" s="197"/>
      <c r="K34" s="197"/>
      <c r="L34" s="197"/>
      <c r="M34" s="197"/>
      <c r="N34" s="197"/>
      <c r="O34" s="237"/>
      <c r="P34" s="197"/>
      <c r="Q34" s="102"/>
      <c r="R34" s="102"/>
      <c r="S34" s="197"/>
      <c r="T34" s="197"/>
      <c r="U34" s="197"/>
      <c r="V34" s="218"/>
      <c r="W34" s="219"/>
    </row>
    <row r="35" spans="1:23" s="65" customFormat="1" ht="13" x14ac:dyDescent="0.3">
      <c r="A35" s="224" t="s">
        <v>45</v>
      </c>
      <c r="B35" s="225">
        <v>85126</v>
      </c>
      <c r="C35" s="225">
        <v>41105</v>
      </c>
      <c r="D35" s="225">
        <v>126231</v>
      </c>
      <c r="E35" s="229"/>
      <c r="F35" s="225">
        <v>884147</v>
      </c>
      <c r="G35" s="225">
        <v>59387</v>
      </c>
      <c r="H35" s="225">
        <f>J35-D35</f>
        <v>943535</v>
      </c>
      <c r="I35" s="226"/>
      <c r="J35" s="226">
        <v>1069766</v>
      </c>
      <c r="K35" s="226">
        <v>1010873.428</v>
      </c>
      <c r="L35" s="226">
        <v>715552</v>
      </c>
      <c r="M35" s="226">
        <v>628813.66700000002</v>
      </c>
      <c r="N35" s="226">
        <v>610144.56900000002</v>
      </c>
      <c r="O35" s="226">
        <v>576835.37300000002</v>
      </c>
      <c r="P35" s="226">
        <v>574066.0120000001</v>
      </c>
      <c r="Q35" s="226">
        <v>577031.48800000001</v>
      </c>
      <c r="R35" s="226">
        <v>607519.56200000003</v>
      </c>
      <c r="S35" s="226">
        <v>583485.18900000001</v>
      </c>
      <c r="T35" s="225">
        <v>547964</v>
      </c>
      <c r="U35" s="225">
        <v>542071</v>
      </c>
      <c r="V35" s="227">
        <f>(J35-K35)/K35</f>
        <v>5.8259095915220799E-2</v>
      </c>
      <c r="W35" s="211"/>
    </row>
    <row r="36" spans="1:23" x14ac:dyDescent="0.25">
      <c r="A36" s="230" t="s">
        <v>163</v>
      </c>
      <c r="B36" s="231">
        <f t="shared" ref="B36:G36" si="5">B33/B35</f>
        <v>5.5482461292672036E-2</v>
      </c>
      <c r="C36" s="231">
        <f t="shared" si="5"/>
        <v>3.7027125653813407E-2</v>
      </c>
      <c r="D36" s="231">
        <f t="shared" si="5"/>
        <v>4.9472791944926368E-2</v>
      </c>
      <c r="E36" s="232" t="e">
        <f t="shared" si="5"/>
        <v>#DIV/0!</v>
      </c>
      <c r="F36" s="231">
        <f t="shared" si="5"/>
        <v>0.18702135504616313</v>
      </c>
      <c r="G36" s="231">
        <f t="shared" si="5"/>
        <v>8.9043056561200262E-2</v>
      </c>
      <c r="H36" s="231">
        <f>H33/H35</f>
        <v>0.18085391638889919</v>
      </c>
      <c r="I36" s="231" t="e">
        <f>I33/I35</f>
        <v>#DIV/0!</v>
      </c>
      <c r="J36" s="231">
        <f>J33/J35</f>
        <v>0.165351114168893</v>
      </c>
      <c r="K36" s="231">
        <v>0.171211306189364</v>
      </c>
      <c r="L36" s="233">
        <f>L33/L35</f>
        <v>0.16395113143419346</v>
      </c>
      <c r="M36" s="233">
        <v>0.16605555107949013</v>
      </c>
      <c r="N36" s="233">
        <v>0.14831332539485409</v>
      </c>
      <c r="O36" s="233">
        <f t="shared" ref="O36:U36" si="6">O33/O35</f>
        <v>0.12205036878000199</v>
      </c>
      <c r="P36" s="233">
        <f t="shared" si="6"/>
        <v>0.13189491002299575</v>
      </c>
      <c r="Q36" s="233">
        <f t="shared" si="6"/>
        <v>0.13369262961261483</v>
      </c>
      <c r="R36" s="233">
        <f t="shared" si="6"/>
        <v>0.14436707142608851</v>
      </c>
      <c r="S36" s="233">
        <f t="shared" si="6"/>
        <v>0.14806044031393573</v>
      </c>
      <c r="T36" s="233">
        <f t="shared" si="6"/>
        <v>0.14091436663722434</v>
      </c>
      <c r="U36" s="233">
        <f t="shared" si="6"/>
        <v>0</v>
      </c>
      <c r="V36" s="234"/>
      <c r="W36" s="219"/>
    </row>
    <row r="37" spans="1:23" ht="15" customHeight="1" x14ac:dyDescent="0.3">
      <c r="A37" s="52" t="s">
        <v>53</v>
      </c>
      <c r="B37" s="64"/>
      <c r="C37" s="64"/>
      <c r="D37" s="64"/>
      <c r="E37" s="53"/>
      <c r="F37" s="64"/>
      <c r="G37" s="64"/>
      <c r="H37" s="64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64"/>
      <c r="U37" s="2"/>
      <c r="V37" s="2"/>
      <c r="W37" s="2"/>
    </row>
    <row r="38" spans="1:23" ht="37.5" customHeight="1" x14ac:dyDescent="0.25">
      <c r="A38" s="336" t="s">
        <v>167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2"/>
    </row>
    <row r="39" spans="1:2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84" t="s">
        <v>65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8"/>
      <c r="W40" s="2"/>
    </row>
    <row r="41" spans="1:23" x14ac:dyDescent="0.25">
      <c r="A41" s="84" t="s">
        <v>66</v>
      </c>
    </row>
  </sheetData>
  <mergeCells count="2">
    <mergeCell ref="L4:U4"/>
    <mergeCell ref="A38:V38"/>
  </mergeCells>
  <pageMargins left="0.19685039370078741" right="0.19685039370078741" top="0.55118110236220474" bottom="0" header="0" footer="0"/>
  <pageSetup paperSize="9" scale="78" orientation="portrait" r:id="rId1"/>
  <headerFooter alignWithMargins="0"/>
  <ignoredErrors>
    <ignoredError sqref="G10:V12 G13:V16 B17:W36 B13:F16 W13:W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W52"/>
  <sheetViews>
    <sheetView zoomScaleNormal="100" workbookViewId="0">
      <selection activeCell="C10" sqref="C10"/>
    </sheetView>
  </sheetViews>
  <sheetFormatPr defaultColWidth="9.1796875" defaultRowHeight="11.5" x14ac:dyDescent="0.25"/>
  <cols>
    <col min="1" max="1" width="3.81640625" style="162" customWidth="1"/>
    <col min="2" max="2" width="25.90625" style="162" customWidth="1"/>
    <col min="3" max="3" width="24.26953125" style="162" customWidth="1"/>
    <col min="4" max="4" width="1.7265625" style="162" customWidth="1"/>
    <col min="5" max="5" width="25.54296875" style="162" customWidth="1"/>
    <col min="6" max="6" width="27.08984375" style="162" customWidth="1"/>
    <col min="7" max="256" width="9.1796875" style="162"/>
    <col min="257" max="257" width="3.81640625" style="162" customWidth="1"/>
    <col min="258" max="258" width="26.36328125" style="162" customWidth="1"/>
    <col min="259" max="259" width="26.453125" style="162" customWidth="1"/>
    <col min="260" max="260" width="1.7265625" style="162" customWidth="1"/>
    <col min="261" max="261" width="26.36328125" style="162" customWidth="1"/>
    <col min="262" max="262" width="27.08984375" style="162" customWidth="1"/>
    <col min="263" max="512" width="9.1796875" style="162"/>
    <col min="513" max="513" width="3.81640625" style="162" customWidth="1"/>
    <col min="514" max="514" width="26.36328125" style="162" customWidth="1"/>
    <col min="515" max="515" width="26.453125" style="162" customWidth="1"/>
    <col min="516" max="516" width="1.7265625" style="162" customWidth="1"/>
    <col min="517" max="517" width="26.36328125" style="162" customWidth="1"/>
    <col min="518" max="518" width="27.08984375" style="162" customWidth="1"/>
    <col min="519" max="768" width="9.1796875" style="162"/>
    <col min="769" max="769" width="3.81640625" style="162" customWidth="1"/>
    <col min="770" max="770" width="26.36328125" style="162" customWidth="1"/>
    <col min="771" max="771" width="26.453125" style="162" customWidth="1"/>
    <col min="772" max="772" width="1.7265625" style="162" customWidth="1"/>
    <col min="773" max="773" width="26.36328125" style="162" customWidth="1"/>
    <col min="774" max="774" width="27.08984375" style="162" customWidth="1"/>
    <col min="775" max="1024" width="9.1796875" style="162"/>
    <col min="1025" max="1025" width="3.81640625" style="162" customWidth="1"/>
    <col min="1026" max="1026" width="26.36328125" style="162" customWidth="1"/>
    <col min="1027" max="1027" width="26.453125" style="162" customWidth="1"/>
    <col min="1028" max="1028" width="1.7265625" style="162" customWidth="1"/>
    <col min="1029" max="1029" width="26.36328125" style="162" customWidth="1"/>
    <col min="1030" max="1030" width="27.08984375" style="162" customWidth="1"/>
    <col min="1031" max="1280" width="9.1796875" style="162"/>
    <col min="1281" max="1281" width="3.81640625" style="162" customWidth="1"/>
    <col min="1282" max="1282" width="26.36328125" style="162" customWidth="1"/>
    <col min="1283" max="1283" width="26.453125" style="162" customWidth="1"/>
    <col min="1284" max="1284" width="1.7265625" style="162" customWidth="1"/>
    <col min="1285" max="1285" width="26.36328125" style="162" customWidth="1"/>
    <col min="1286" max="1286" width="27.08984375" style="162" customWidth="1"/>
    <col min="1287" max="1536" width="9.1796875" style="162"/>
    <col min="1537" max="1537" width="3.81640625" style="162" customWidth="1"/>
    <col min="1538" max="1538" width="26.36328125" style="162" customWidth="1"/>
    <col min="1539" max="1539" width="26.453125" style="162" customWidth="1"/>
    <col min="1540" max="1540" width="1.7265625" style="162" customWidth="1"/>
    <col min="1541" max="1541" width="26.36328125" style="162" customWidth="1"/>
    <col min="1542" max="1542" width="27.08984375" style="162" customWidth="1"/>
    <col min="1543" max="1792" width="9.1796875" style="162"/>
    <col min="1793" max="1793" width="3.81640625" style="162" customWidth="1"/>
    <col min="1794" max="1794" width="26.36328125" style="162" customWidth="1"/>
    <col min="1795" max="1795" width="26.453125" style="162" customWidth="1"/>
    <col min="1796" max="1796" width="1.7265625" style="162" customWidth="1"/>
    <col min="1797" max="1797" width="26.36328125" style="162" customWidth="1"/>
    <col min="1798" max="1798" width="27.08984375" style="162" customWidth="1"/>
    <col min="1799" max="2048" width="9.1796875" style="162"/>
    <col min="2049" max="2049" width="3.81640625" style="162" customWidth="1"/>
    <col min="2050" max="2050" width="26.36328125" style="162" customWidth="1"/>
    <col min="2051" max="2051" width="26.453125" style="162" customWidth="1"/>
    <col min="2052" max="2052" width="1.7265625" style="162" customWidth="1"/>
    <col min="2053" max="2053" width="26.36328125" style="162" customWidth="1"/>
    <col min="2054" max="2054" width="27.08984375" style="162" customWidth="1"/>
    <col min="2055" max="2304" width="9.1796875" style="162"/>
    <col min="2305" max="2305" width="3.81640625" style="162" customWidth="1"/>
    <col min="2306" max="2306" width="26.36328125" style="162" customWidth="1"/>
    <col min="2307" max="2307" width="26.453125" style="162" customWidth="1"/>
    <col min="2308" max="2308" width="1.7265625" style="162" customWidth="1"/>
    <col min="2309" max="2309" width="26.36328125" style="162" customWidth="1"/>
    <col min="2310" max="2310" width="27.08984375" style="162" customWidth="1"/>
    <col min="2311" max="2560" width="9.1796875" style="162"/>
    <col min="2561" max="2561" width="3.81640625" style="162" customWidth="1"/>
    <col min="2562" max="2562" width="26.36328125" style="162" customWidth="1"/>
    <col min="2563" max="2563" width="26.453125" style="162" customWidth="1"/>
    <col min="2564" max="2564" width="1.7265625" style="162" customWidth="1"/>
    <col min="2565" max="2565" width="26.36328125" style="162" customWidth="1"/>
    <col min="2566" max="2566" width="27.08984375" style="162" customWidth="1"/>
    <col min="2567" max="2816" width="9.1796875" style="162"/>
    <col min="2817" max="2817" width="3.81640625" style="162" customWidth="1"/>
    <col min="2818" max="2818" width="26.36328125" style="162" customWidth="1"/>
    <col min="2819" max="2819" width="26.453125" style="162" customWidth="1"/>
    <col min="2820" max="2820" width="1.7265625" style="162" customWidth="1"/>
    <col min="2821" max="2821" width="26.36328125" style="162" customWidth="1"/>
    <col min="2822" max="2822" width="27.08984375" style="162" customWidth="1"/>
    <col min="2823" max="3072" width="9.1796875" style="162"/>
    <col min="3073" max="3073" width="3.81640625" style="162" customWidth="1"/>
    <col min="3074" max="3074" width="26.36328125" style="162" customWidth="1"/>
    <col min="3075" max="3075" width="26.453125" style="162" customWidth="1"/>
    <col min="3076" max="3076" width="1.7265625" style="162" customWidth="1"/>
    <col min="3077" max="3077" width="26.36328125" style="162" customWidth="1"/>
    <col min="3078" max="3078" width="27.08984375" style="162" customWidth="1"/>
    <col min="3079" max="3328" width="9.1796875" style="162"/>
    <col min="3329" max="3329" width="3.81640625" style="162" customWidth="1"/>
    <col min="3330" max="3330" width="26.36328125" style="162" customWidth="1"/>
    <col min="3331" max="3331" width="26.453125" style="162" customWidth="1"/>
    <col min="3332" max="3332" width="1.7265625" style="162" customWidth="1"/>
    <col min="3333" max="3333" width="26.36328125" style="162" customWidth="1"/>
    <col min="3334" max="3334" width="27.08984375" style="162" customWidth="1"/>
    <col min="3335" max="3584" width="9.1796875" style="162"/>
    <col min="3585" max="3585" width="3.81640625" style="162" customWidth="1"/>
    <col min="3586" max="3586" width="26.36328125" style="162" customWidth="1"/>
    <col min="3587" max="3587" width="26.453125" style="162" customWidth="1"/>
    <col min="3588" max="3588" width="1.7265625" style="162" customWidth="1"/>
    <col min="3589" max="3589" width="26.36328125" style="162" customWidth="1"/>
    <col min="3590" max="3590" width="27.08984375" style="162" customWidth="1"/>
    <col min="3591" max="3840" width="9.1796875" style="162"/>
    <col min="3841" max="3841" width="3.81640625" style="162" customWidth="1"/>
    <col min="3842" max="3842" width="26.36328125" style="162" customWidth="1"/>
    <col min="3843" max="3843" width="26.453125" style="162" customWidth="1"/>
    <col min="3844" max="3844" width="1.7265625" style="162" customWidth="1"/>
    <col min="3845" max="3845" width="26.36328125" style="162" customWidth="1"/>
    <col min="3846" max="3846" width="27.08984375" style="162" customWidth="1"/>
    <col min="3847" max="4096" width="9.1796875" style="162"/>
    <col min="4097" max="4097" width="3.81640625" style="162" customWidth="1"/>
    <col min="4098" max="4098" width="26.36328125" style="162" customWidth="1"/>
    <col min="4099" max="4099" width="26.453125" style="162" customWidth="1"/>
    <col min="4100" max="4100" width="1.7265625" style="162" customWidth="1"/>
    <col min="4101" max="4101" width="26.36328125" style="162" customWidth="1"/>
    <col min="4102" max="4102" width="27.08984375" style="162" customWidth="1"/>
    <col min="4103" max="4352" width="9.1796875" style="162"/>
    <col min="4353" max="4353" width="3.81640625" style="162" customWidth="1"/>
    <col min="4354" max="4354" width="26.36328125" style="162" customWidth="1"/>
    <col min="4355" max="4355" width="26.453125" style="162" customWidth="1"/>
    <col min="4356" max="4356" width="1.7265625" style="162" customWidth="1"/>
    <col min="4357" max="4357" width="26.36328125" style="162" customWidth="1"/>
    <col min="4358" max="4358" width="27.08984375" style="162" customWidth="1"/>
    <col min="4359" max="4608" width="9.1796875" style="162"/>
    <col min="4609" max="4609" width="3.81640625" style="162" customWidth="1"/>
    <col min="4610" max="4610" width="26.36328125" style="162" customWidth="1"/>
    <col min="4611" max="4611" width="26.453125" style="162" customWidth="1"/>
    <col min="4612" max="4612" width="1.7265625" style="162" customWidth="1"/>
    <col min="4613" max="4613" width="26.36328125" style="162" customWidth="1"/>
    <col min="4614" max="4614" width="27.08984375" style="162" customWidth="1"/>
    <col min="4615" max="4864" width="9.1796875" style="162"/>
    <col min="4865" max="4865" width="3.81640625" style="162" customWidth="1"/>
    <col min="4866" max="4866" width="26.36328125" style="162" customWidth="1"/>
    <col min="4867" max="4867" width="26.453125" style="162" customWidth="1"/>
    <col min="4868" max="4868" width="1.7265625" style="162" customWidth="1"/>
    <col min="4869" max="4869" width="26.36328125" style="162" customWidth="1"/>
    <col min="4870" max="4870" width="27.08984375" style="162" customWidth="1"/>
    <col min="4871" max="5120" width="9.1796875" style="162"/>
    <col min="5121" max="5121" width="3.81640625" style="162" customWidth="1"/>
    <col min="5122" max="5122" width="26.36328125" style="162" customWidth="1"/>
    <col min="5123" max="5123" width="26.453125" style="162" customWidth="1"/>
    <col min="5124" max="5124" width="1.7265625" style="162" customWidth="1"/>
    <col min="5125" max="5125" width="26.36328125" style="162" customWidth="1"/>
    <col min="5126" max="5126" width="27.08984375" style="162" customWidth="1"/>
    <col min="5127" max="5376" width="9.1796875" style="162"/>
    <col min="5377" max="5377" width="3.81640625" style="162" customWidth="1"/>
    <col min="5378" max="5378" width="26.36328125" style="162" customWidth="1"/>
    <col min="5379" max="5379" width="26.453125" style="162" customWidth="1"/>
    <col min="5380" max="5380" width="1.7265625" style="162" customWidth="1"/>
    <col min="5381" max="5381" width="26.36328125" style="162" customWidth="1"/>
    <col min="5382" max="5382" width="27.08984375" style="162" customWidth="1"/>
    <col min="5383" max="5632" width="9.1796875" style="162"/>
    <col min="5633" max="5633" width="3.81640625" style="162" customWidth="1"/>
    <col min="5634" max="5634" width="26.36328125" style="162" customWidth="1"/>
    <col min="5635" max="5635" width="26.453125" style="162" customWidth="1"/>
    <col min="5636" max="5636" width="1.7265625" style="162" customWidth="1"/>
    <col min="5637" max="5637" width="26.36328125" style="162" customWidth="1"/>
    <col min="5638" max="5638" width="27.08984375" style="162" customWidth="1"/>
    <col min="5639" max="5888" width="9.1796875" style="162"/>
    <col min="5889" max="5889" width="3.81640625" style="162" customWidth="1"/>
    <col min="5890" max="5890" width="26.36328125" style="162" customWidth="1"/>
    <col min="5891" max="5891" width="26.453125" style="162" customWidth="1"/>
    <col min="5892" max="5892" width="1.7265625" style="162" customWidth="1"/>
    <col min="5893" max="5893" width="26.36328125" style="162" customWidth="1"/>
    <col min="5894" max="5894" width="27.08984375" style="162" customWidth="1"/>
    <col min="5895" max="6144" width="9.1796875" style="162"/>
    <col min="6145" max="6145" width="3.81640625" style="162" customWidth="1"/>
    <col min="6146" max="6146" width="26.36328125" style="162" customWidth="1"/>
    <col min="6147" max="6147" width="26.453125" style="162" customWidth="1"/>
    <col min="6148" max="6148" width="1.7265625" style="162" customWidth="1"/>
    <col min="6149" max="6149" width="26.36328125" style="162" customWidth="1"/>
    <col min="6150" max="6150" width="27.08984375" style="162" customWidth="1"/>
    <col min="6151" max="6400" width="9.1796875" style="162"/>
    <col min="6401" max="6401" width="3.81640625" style="162" customWidth="1"/>
    <col min="6402" max="6402" width="26.36328125" style="162" customWidth="1"/>
    <col min="6403" max="6403" width="26.453125" style="162" customWidth="1"/>
    <col min="6404" max="6404" width="1.7265625" style="162" customWidth="1"/>
    <col min="6405" max="6405" width="26.36328125" style="162" customWidth="1"/>
    <col min="6406" max="6406" width="27.08984375" style="162" customWidth="1"/>
    <col min="6407" max="6656" width="9.1796875" style="162"/>
    <col min="6657" max="6657" width="3.81640625" style="162" customWidth="1"/>
    <col min="6658" max="6658" width="26.36328125" style="162" customWidth="1"/>
    <col min="6659" max="6659" width="26.453125" style="162" customWidth="1"/>
    <col min="6660" max="6660" width="1.7265625" style="162" customWidth="1"/>
    <col min="6661" max="6661" width="26.36328125" style="162" customWidth="1"/>
    <col min="6662" max="6662" width="27.08984375" style="162" customWidth="1"/>
    <col min="6663" max="6912" width="9.1796875" style="162"/>
    <col min="6913" max="6913" width="3.81640625" style="162" customWidth="1"/>
    <col min="6914" max="6914" width="26.36328125" style="162" customWidth="1"/>
    <col min="6915" max="6915" width="26.453125" style="162" customWidth="1"/>
    <col min="6916" max="6916" width="1.7265625" style="162" customWidth="1"/>
    <col min="6917" max="6917" width="26.36328125" style="162" customWidth="1"/>
    <col min="6918" max="6918" width="27.08984375" style="162" customWidth="1"/>
    <col min="6919" max="7168" width="9.1796875" style="162"/>
    <col min="7169" max="7169" width="3.81640625" style="162" customWidth="1"/>
    <col min="7170" max="7170" width="26.36328125" style="162" customWidth="1"/>
    <col min="7171" max="7171" width="26.453125" style="162" customWidth="1"/>
    <col min="7172" max="7172" width="1.7265625" style="162" customWidth="1"/>
    <col min="7173" max="7173" width="26.36328125" style="162" customWidth="1"/>
    <col min="7174" max="7174" width="27.08984375" style="162" customWidth="1"/>
    <col min="7175" max="7424" width="9.1796875" style="162"/>
    <col min="7425" max="7425" width="3.81640625" style="162" customWidth="1"/>
    <col min="7426" max="7426" width="26.36328125" style="162" customWidth="1"/>
    <col min="7427" max="7427" width="26.453125" style="162" customWidth="1"/>
    <col min="7428" max="7428" width="1.7265625" style="162" customWidth="1"/>
    <col min="7429" max="7429" width="26.36328125" style="162" customWidth="1"/>
    <col min="7430" max="7430" width="27.08984375" style="162" customWidth="1"/>
    <col min="7431" max="7680" width="9.1796875" style="162"/>
    <col min="7681" max="7681" width="3.81640625" style="162" customWidth="1"/>
    <col min="7682" max="7682" width="26.36328125" style="162" customWidth="1"/>
    <col min="7683" max="7683" width="26.453125" style="162" customWidth="1"/>
    <col min="7684" max="7684" width="1.7265625" style="162" customWidth="1"/>
    <col min="7685" max="7685" width="26.36328125" style="162" customWidth="1"/>
    <col min="7686" max="7686" width="27.08984375" style="162" customWidth="1"/>
    <col min="7687" max="7936" width="9.1796875" style="162"/>
    <col min="7937" max="7937" width="3.81640625" style="162" customWidth="1"/>
    <col min="7938" max="7938" width="26.36328125" style="162" customWidth="1"/>
    <col min="7939" max="7939" width="26.453125" style="162" customWidth="1"/>
    <col min="7940" max="7940" width="1.7265625" style="162" customWidth="1"/>
    <col min="7941" max="7941" width="26.36328125" style="162" customWidth="1"/>
    <col min="7942" max="7942" width="27.08984375" style="162" customWidth="1"/>
    <col min="7943" max="8192" width="9.1796875" style="162"/>
    <col min="8193" max="8193" width="3.81640625" style="162" customWidth="1"/>
    <col min="8194" max="8194" width="26.36328125" style="162" customWidth="1"/>
    <col min="8195" max="8195" width="26.453125" style="162" customWidth="1"/>
    <col min="8196" max="8196" width="1.7265625" style="162" customWidth="1"/>
    <col min="8197" max="8197" width="26.36328125" style="162" customWidth="1"/>
    <col min="8198" max="8198" width="27.08984375" style="162" customWidth="1"/>
    <col min="8199" max="8448" width="9.1796875" style="162"/>
    <col min="8449" max="8449" width="3.81640625" style="162" customWidth="1"/>
    <col min="8450" max="8450" width="26.36328125" style="162" customWidth="1"/>
    <col min="8451" max="8451" width="26.453125" style="162" customWidth="1"/>
    <col min="8452" max="8452" width="1.7265625" style="162" customWidth="1"/>
    <col min="8453" max="8453" width="26.36328125" style="162" customWidth="1"/>
    <col min="8454" max="8454" width="27.08984375" style="162" customWidth="1"/>
    <col min="8455" max="8704" width="9.1796875" style="162"/>
    <col min="8705" max="8705" width="3.81640625" style="162" customWidth="1"/>
    <col min="8706" max="8706" width="26.36328125" style="162" customWidth="1"/>
    <col min="8707" max="8707" width="26.453125" style="162" customWidth="1"/>
    <col min="8708" max="8708" width="1.7265625" style="162" customWidth="1"/>
    <col min="8709" max="8709" width="26.36328125" style="162" customWidth="1"/>
    <col min="8710" max="8710" width="27.08984375" style="162" customWidth="1"/>
    <col min="8711" max="8960" width="9.1796875" style="162"/>
    <col min="8961" max="8961" width="3.81640625" style="162" customWidth="1"/>
    <col min="8962" max="8962" width="26.36328125" style="162" customWidth="1"/>
    <col min="8963" max="8963" width="26.453125" style="162" customWidth="1"/>
    <col min="8964" max="8964" width="1.7265625" style="162" customWidth="1"/>
    <col min="8965" max="8965" width="26.36328125" style="162" customWidth="1"/>
    <col min="8966" max="8966" width="27.08984375" style="162" customWidth="1"/>
    <col min="8967" max="9216" width="9.1796875" style="162"/>
    <col min="9217" max="9217" width="3.81640625" style="162" customWidth="1"/>
    <col min="9218" max="9218" width="26.36328125" style="162" customWidth="1"/>
    <col min="9219" max="9219" width="26.453125" style="162" customWidth="1"/>
    <col min="9220" max="9220" width="1.7265625" style="162" customWidth="1"/>
    <col min="9221" max="9221" width="26.36328125" style="162" customWidth="1"/>
    <col min="9222" max="9222" width="27.08984375" style="162" customWidth="1"/>
    <col min="9223" max="9472" width="9.1796875" style="162"/>
    <col min="9473" max="9473" width="3.81640625" style="162" customWidth="1"/>
    <col min="9474" max="9474" width="26.36328125" style="162" customWidth="1"/>
    <col min="9475" max="9475" width="26.453125" style="162" customWidth="1"/>
    <col min="9476" max="9476" width="1.7265625" style="162" customWidth="1"/>
    <col min="9477" max="9477" width="26.36328125" style="162" customWidth="1"/>
    <col min="9478" max="9478" width="27.08984375" style="162" customWidth="1"/>
    <col min="9479" max="9728" width="9.1796875" style="162"/>
    <col min="9729" max="9729" width="3.81640625" style="162" customWidth="1"/>
    <col min="9730" max="9730" width="26.36328125" style="162" customWidth="1"/>
    <col min="9731" max="9731" width="26.453125" style="162" customWidth="1"/>
    <col min="9732" max="9732" width="1.7265625" style="162" customWidth="1"/>
    <col min="9733" max="9733" width="26.36328125" style="162" customWidth="1"/>
    <col min="9734" max="9734" width="27.08984375" style="162" customWidth="1"/>
    <col min="9735" max="9984" width="9.1796875" style="162"/>
    <col min="9985" max="9985" width="3.81640625" style="162" customWidth="1"/>
    <col min="9986" max="9986" width="26.36328125" style="162" customWidth="1"/>
    <col min="9987" max="9987" width="26.453125" style="162" customWidth="1"/>
    <col min="9988" max="9988" width="1.7265625" style="162" customWidth="1"/>
    <col min="9989" max="9989" width="26.36328125" style="162" customWidth="1"/>
    <col min="9990" max="9990" width="27.08984375" style="162" customWidth="1"/>
    <col min="9991" max="10240" width="9.1796875" style="162"/>
    <col min="10241" max="10241" width="3.81640625" style="162" customWidth="1"/>
    <col min="10242" max="10242" width="26.36328125" style="162" customWidth="1"/>
    <col min="10243" max="10243" width="26.453125" style="162" customWidth="1"/>
    <col min="10244" max="10244" width="1.7265625" style="162" customWidth="1"/>
    <col min="10245" max="10245" width="26.36328125" style="162" customWidth="1"/>
    <col min="10246" max="10246" width="27.08984375" style="162" customWidth="1"/>
    <col min="10247" max="10496" width="9.1796875" style="162"/>
    <col min="10497" max="10497" width="3.81640625" style="162" customWidth="1"/>
    <col min="10498" max="10498" width="26.36328125" style="162" customWidth="1"/>
    <col min="10499" max="10499" width="26.453125" style="162" customWidth="1"/>
    <col min="10500" max="10500" width="1.7265625" style="162" customWidth="1"/>
    <col min="10501" max="10501" width="26.36328125" style="162" customWidth="1"/>
    <col min="10502" max="10502" width="27.08984375" style="162" customWidth="1"/>
    <col min="10503" max="10752" width="9.1796875" style="162"/>
    <col min="10753" max="10753" width="3.81640625" style="162" customWidth="1"/>
    <col min="10754" max="10754" width="26.36328125" style="162" customWidth="1"/>
    <col min="10755" max="10755" width="26.453125" style="162" customWidth="1"/>
    <col min="10756" max="10756" width="1.7265625" style="162" customWidth="1"/>
    <col min="10757" max="10757" width="26.36328125" style="162" customWidth="1"/>
    <col min="10758" max="10758" width="27.08984375" style="162" customWidth="1"/>
    <col min="10759" max="11008" width="9.1796875" style="162"/>
    <col min="11009" max="11009" width="3.81640625" style="162" customWidth="1"/>
    <col min="11010" max="11010" width="26.36328125" style="162" customWidth="1"/>
    <col min="11011" max="11011" width="26.453125" style="162" customWidth="1"/>
    <col min="11012" max="11012" width="1.7265625" style="162" customWidth="1"/>
    <col min="11013" max="11013" width="26.36328125" style="162" customWidth="1"/>
    <col min="11014" max="11014" width="27.08984375" style="162" customWidth="1"/>
    <col min="11015" max="11264" width="9.1796875" style="162"/>
    <col min="11265" max="11265" width="3.81640625" style="162" customWidth="1"/>
    <col min="11266" max="11266" width="26.36328125" style="162" customWidth="1"/>
    <col min="11267" max="11267" width="26.453125" style="162" customWidth="1"/>
    <col min="11268" max="11268" width="1.7265625" style="162" customWidth="1"/>
    <col min="11269" max="11269" width="26.36328125" style="162" customWidth="1"/>
    <col min="11270" max="11270" width="27.08984375" style="162" customWidth="1"/>
    <col min="11271" max="11520" width="9.1796875" style="162"/>
    <col min="11521" max="11521" width="3.81640625" style="162" customWidth="1"/>
    <col min="11522" max="11522" width="26.36328125" style="162" customWidth="1"/>
    <col min="11523" max="11523" width="26.453125" style="162" customWidth="1"/>
    <col min="11524" max="11524" width="1.7265625" style="162" customWidth="1"/>
    <col min="11525" max="11525" width="26.36328125" style="162" customWidth="1"/>
    <col min="11526" max="11526" width="27.08984375" style="162" customWidth="1"/>
    <col min="11527" max="11776" width="9.1796875" style="162"/>
    <col min="11777" max="11777" width="3.81640625" style="162" customWidth="1"/>
    <col min="11778" max="11778" width="26.36328125" style="162" customWidth="1"/>
    <col min="11779" max="11779" width="26.453125" style="162" customWidth="1"/>
    <col min="11780" max="11780" width="1.7265625" style="162" customWidth="1"/>
    <col min="11781" max="11781" width="26.36328125" style="162" customWidth="1"/>
    <col min="11782" max="11782" width="27.08984375" style="162" customWidth="1"/>
    <col min="11783" max="12032" width="9.1796875" style="162"/>
    <col min="12033" max="12033" width="3.81640625" style="162" customWidth="1"/>
    <col min="12034" max="12034" width="26.36328125" style="162" customWidth="1"/>
    <col min="12035" max="12035" width="26.453125" style="162" customWidth="1"/>
    <col min="12036" max="12036" width="1.7265625" style="162" customWidth="1"/>
    <col min="12037" max="12037" width="26.36328125" style="162" customWidth="1"/>
    <col min="12038" max="12038" width="27.08984375" style="162" customWidth="1"/>
    <col min="12039" max="12288" width="9.1796875" style="162"/>
    <col min="12289" max="12289" width="3.81640625" style="162" customWidth="1"/>
    <col min="12290" max="12290" width="26.36328125" style="162" customWidth="1"/>
    <col min="12291" max="12291" width="26.453125" style="162" customWidth="1"/>
    <col min="12292" max="12292" width="1.7265625" style="162" customWidth="1"/>
    <col min="12293" max="12293" width="26.36328125" style="162" customWidth="1"/>
    <col min="12294" max="12294" width="27.08984375" style="162" customWidth="1"/>
    <col min="12295" max="12544" width="9.1796875" style="162"/>
    <col min="12545" max="12545" width="3.81640625" style="162" customWidth="1"/>
    <col min="12546" max="12546" width="26.36328125" style="162" customWidth="1"/>
    <col min="12547" max="12547" width="26.453125" style="162" customWidth="1"/>
    <col min="12548" max="12548" width="1.7265625" style="162" customWidth="1"/>
    <col min="12549" max="12549" width="26.36328125" style="162" customWidth="1"/>
    <col min="12550" max="12550" width="27.08984375" style="162" customWidth="1"/>
    <col min="12551" max="12800" width="9.1796875" style="162"/>
    <col min="12801" max="12801" width="3.81640625" style="162" customWidth="1"/>
    <col min="12802" max="12802" width="26.36328125" style="162" customWidth="1"/>
    <col min="12803" max="12803" width="26.453125" style="162" customWidth="1"/>
    <col min="12804" max="12804" width="1.7265625" style="162" customWidth="1"/>
    <col min="12805" max="12805" width="26.36328125" style="162" customWidth="1"/>
    <col min="12806" max="12806" width="27.08984375" style="162" customWidth="1"/>
    <col min="12807" max="13056" width="9.1796875" style="162"/>
    <col min="13057" max="13057" width="3.81640625" style="162" customWidth="1"/>
    <col min="13058" max="13058" width="26.36328125" style="162" customWidth="1"/>
    <col min="13059" max="13059" width="26.453125" style="162" customWidth="1"/>
    <col min="13060" max="13060" width="1.7265625" style="162" customWidth="1"/>
    <col min="13061" max="13061" width="26.36328125" style="162" customWidth="1"/>
    <col min="13062" max="13062" width="27.08984375" style="162" customWidth="1"/>
    <col min="13063" max="13312" width="9.1796875" style="162"/>
    <col min="13313" max="13313" width="3.81640625" style="162" customWidth="1"/>
    <col min="13314" max="13314" width="26.36328125" style="162" customWidth="1"/>
    <col min="13315" max="13315" width="26.453125" style="162" customWidth="1"/>
    <col min="13316" max="13316" width="1.7265625" style="162" customWidth="1"/>
    <col min="13317" max="13317" width="26.36328125" style="162" customWidth="1"/>
    <col min="13318" max="13318" width="27.08984375" style="162" customWidth="1"/>
    <col min="13319" max="13568" width="9.1796875" style="162"/>
    <col min="13569" max="13569" width="3.81640625" style="162" customWidth="1"/>
    <col min="13570" max="13570" width="26.36328125" style="162" customWidth="1"/>
    <col min="13571" max="13571" width="26.453125" style="162" customWidth="1"/>
    <col min="13572" max="13572" width="1.7265625" style="162" customWidth="1"/>
    <col min="13573" max="13573" width="26.36328125" style="162" customWidth="1"/>
    <col min="13574" max="13574" width="27.08984375" style="162" customWidth="1"/>
    <col min="13575" max="13824" width="9.1796875" style="162"/>
    <col min="13825" max="13825" width="3.81640625" style="162" customWidth="1"/>
    <col min="13826" max="13826" width="26.36328125" style="162" customWidth="1"/>
    <col min="13827" max="13827" width="26.453125" style="162" customWidth="1"/>
    <col min="13828" max="13828" width="1.7265625" style="162" customWidth="1"/>
    <col min="13829" max="13829" width="26.36328125" style="162" customWidth="1"/>
    <col min="13830" max="13830" width="27.08984375" style="162" customWidth="1"/>
    <col min="13831" max="14080" width="9.1796875" style="162"/>
    <col min="14081" max="14081" width="3.81640625" style="162" customWidth="1"/>
    <col min="14082" max="14082" width="26.36328125" style="162" customWidth="1"/>
    <col min="14083" max="14083" width="26.453125" style="162" customWidth="1"/>
    <col min="14084" max="14084" width="1.7265625" style="162" customWidth="1"/>
    <col min="14085" max="14085" width="26.36328125" style="162" customWidth="1"/>
    <col min="14086" max="14086" width="27.08984375" style="162" customWidth="1"/>
    <col min="14087" max="14336" width="9.1796875" style="162"/>
    <col min="14337" max="14337" width="3.81640625" style="162" customWidth="1"/>
    <col min="14338" max="14338" width="26.36328125" style="162" customWidth="1"/>
    <col min="14339" max="14339" width="26.453125" style="162" customWidth="1"/>
    <col min="14340" max="14340" width="1.7265625" style="162" customWidth="1"/>
    <col min="14341" max="14341" width="26.36328125" style="162" customWidth="1"/>
    <col min="14342" max="14342" width="27.08984375" style="162" customWidth="1"/>
    <col min="14343" max="14592" width="9.1796875" style="162"/>
    <col min="14593" max="14593" width="3.81640625" style="162" customWidth="1"/>
    <col min="14594" max="14594" width="26.36328125" style="162" customWidth="1"/>
    <col min="14595" max="14595" width="26.453125" style="162" customWidth="1"/>
    <col min="14596" max="14596" width="1.7265625" style="162" customWidth="1"/>
    <col min="14597" max="14597" width="26.36328125" style="162" customWidth="1"/>
    <col min="14598" max="14598" width="27.08984375" style="162" customWidth="1"/>
    <col min="14599" max="14848" width="9.1796875" style="162"/>
    <col min="14849" max="14849" width="3.81640625" style="162" customWidth="1"/>
    <col min="14850" max="14850" width="26.36328125" style="162" customWidth="1"/>
    <col min="14851" max="14851" width="26.453125" style="162" customWidth="1"/>
    <col min="14852" max="14852" width="1.7265625" style="162" customWidth="1"/>
    <col min="14853" max="14853" width="26.36328125" style="162" customWidth="1"/>
    <col min="14854" max="14854" width="27.08984375" style="162" customWidth="1"/>
    <col min="14855" max="15104" width="9.1796875" style="162"/>
    <col min="15105" max="15105" width="3.81640625" style="162" customWidth="1"/>
    <col min="15106" max="15106" width="26.36328125" style="162" customWidth="1"/>
    <col min="15107" max="15107" width="26.453125" style="162" customWidth="1"/>
    <col min="15108" max="15108" width="1.7265625" style="162" customWidth="1"/>
    <col min="15109" max="15109" width="26.36328125" style="162" customWidth="1"/>
    <col min="15110" max="15110" width="27.08984375" style="162" customWidth="1"/>
    <col min="15111" max="15360" width="9.1796875" style="162"/>
    <col min="15361" max="15361" width="3.81640625" style="162" customWidth="1"/>
    <col min="15362" max="15362" width="26.36328125" style="162" customWidth="1"/>
    <col min="15363" max="15363" width="26.453125" style="162" customWidth="1"/>
    <col min="15364" max="15364" width="1.7265625" style="162" customWidth="1"/>
    <col min="15365" max="15365" width="26.36328125" style="162" customWidth="1"/>
    <col min="15366" max="15366" width="27.08984375" style="162" customWidth="1"/>
    <col min="15367" max="15616" width="9.1796875" style="162"/>
    <col min="15617" max="15617" width="3.81640625" style="162" customWidth="1"/>
    <col min="15618" max="15618" width="26.36328125" style="162" customWidth="1"/>
    <col min="15619" max="15619" width="26.453125" style="162" customWidth="1"/>
    <col min="15620" max="15620" width="1.7265625" style="162" customWidth="1"/>
    <col min="15621" max="15621" width="26.36328125" style="162" customWidth="1"/>
    <col min="15622" max="15622" width="27.08984375" style="162" customWidth="1"/>
    <col min="15623" max="15872" width="9.1796875" style="162"/>
    <col min="15873" max="15873" width="3.81640625" style="162" customWidth="1"/>
    <col min="15874" max="15874" width="26.36328125" style="162" customWidth="1"/>
    <col min="15875" max="15875" width="26.453125" style="162" customWidth="1"/>
    <col min="15876" max="15876" width="1.7265625" style="162" customWidth="1"/>
    <col min="15877" max="15877" width="26.36328125" style="162" customWidth="1"/>
    <col min="15878" max="15878" width="27.08984375" style="162" customWidth="1"/>
    <col min="15879" max="16128" width="9.1796875" style="162"/>
    <col min="16129" max="16129" width="3.81640625" style="162" customWidth="1"/>
    <col min="16130" max="16130" width="26.36328125" style="162" customWidth="1"/>
    <col min="16131" max="16131" width="26.453125" style="162" customWidth="1"/>
    <col min="16132" max="16132" width="1.7265625" style="162" customWidth="1"/>
    <col min="16133" max="16133" width="26.36328125" style="162" customWidth="1"/>
    <col min="16134" max="16134" width="27.08984375" style="162" customWidth="1"/>
    <col min="16135" max="16384" width="9.1796875" style="162"/>
  </cols>
  <sheetData>
    <row r="1" spans="1:49" ht="14" x14ac:dyDescent="0.3">
      <c r="A1" s="5" t="s">
        <v>168</v>
      </c>
    </row>
    <row r="3" spans="1:49" x14ac:dyDescent="0.25">
      <c r="A3" s="238"/>
      <c r="B3" s="342" t="s">
        <v>39</v>
      </c>
      <c r="C3" s="342"/>
      <c r="D3" s="342"/>
      <c r="E3" s="342"/>
      <c r="F3" s="342"/>
    </row>
    <row r="4" spans="1:49" x14ac:dyDescent="0.25">
      <c r="A4" s="166"/>
      <c r="B4" s="343" t="s">
        <v>169</v>
      </c>
      <c r="C4" s="343"/>
      <c r="D4" s="239"/>
      <c r="E4" s="343" t="s">
        <v>170</v>
      </c>
      <c r="F4" s="343"/>
    </row>
    <row r="5" spans="1:49" ht="12.5" x14ac:dyDescent="0.25">
      <c r="A5" s="240"/>
      <c r="B5" s="241" t="s">
        <v>171</v>
      </c>
      <c r="C5" s="242" t="s">
        <v>172</v>
      </c>
      <c r="D5" s="239"/>
      <c r="E5" s="241" t="s">
        <v>171</v>
      </c>
      <c r="F5" s="242" t="s">
        <v>172</v>
      </c>
      <c r="J5" s="341"/>
      <c r="K5" s="341"/>
      <c r="L5" s="243"/>
      <c r="M5" s="244"/>
      <c r="N5" s="245"/>
      <c r="O5" s="244"/>
      <c r="P5" s="245"/>
      <c r="Q5" s="244"/>
      <c r="R5" s="245"/>
      <c r="S5" s="244"/>
      <c r="T5" s="245"/>
      <c r="U5" s="244"/>
      <c r="V5" s="245"/>
      <c r="W5" s="244"/>
      <c r="X5" s="245"/>
      <c r="Y5" s="244"/>
      <c r="Z5" s="245"/>
      <c r="AA5" s="244"/>
      <c r="AB5" s="245"/>
      <c r="AC5" s="244"/>
      <c r="AD5" s="245"/>
      <c r="AE5" s="244"/>
      <c r="AF5" s="245"/>
      <c r="AG5" s="244"/>
      <c r="AH5" s="245"/>
      <c r="AI5" s="244"/>
      <c r="AJ5" s="245"/>
      <c r="AK5" s="244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</row>
    <row r="6" spans="1:49" ht="12.5" x14ac:dyDescent="0.25">
      <c r="B6" s="246"/>
      <c r="C6" s="246"/>
      <c r="D6" s="246"/>
      <c r="E6" s="246"/>
      <c r="H6" s="247"/>
      <c r="J6" s="341"/>
      <c r="K6" s="341"/>
      <c r="L6" s="243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44"/>
      <c r="X6" s="245"/>
      <c r="Y6" s="244"/>
      <c r="Z6" s="245"/>
      <c r="AA6" s="244"/>
      <c r="AB6" s="245"/>
      <c r="AC6" s="244"/>
      <c r="AD6" s="245"/>
      <c r="AE6" s="244"/>
      <c r="AF6" s="245"/>
      <c r="AG6" s="244"/>
      <c r="AH6" s="245"/>
      <c r="AI6" s="244"/>
      <c r="AJ6" s="245"/>
      <c r="AK6" s="244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</row>
    <row r="7" spans="1:49" ht="12.5" x14ac:dyDescent="0.25">
      <c r="A7" s="164">
        <v>1</v>
      </c>
      <c r="B7" s="248" t="s">
        <v>173</v>
      </c>
      <c r="C7" s="248" t="s">
        <v>173</v>
      </c>
      <c r="E7" s="248" t="s">
        <v>174</v>
      </c>
      <c r="F7" s="248" t="s">
        <v>175</v>
      </c>
      <c r="I7" s="341"/>
      <c r="J7" s="341"/>
      <c r="K7" s="243"/>
      <c r="L7" s="244"/>
      <c r="M7" s="245"/>
      <c r="N7" s="244"/>
      <c r="O7" s="245"/>
      <c r="P7" s="244"/>
      <c r="Q7" s="245"/>
      <c r="R7" s="244"/>
      <c r="S7" s="245"/>
      <c r="T7" s="244"/>
      <c r="U7" s="245"/>
      <c r="V7" s="244"/>
      <c r="W7" s="245"/>
      <c r="X7" s="244"/>
      <c r="Y7" s="245"/>
      <c r="Z7" s="244"/>
      <c r="AA7" s="245"/>
      <c r="AB7" s="244"/>
      <c r="AC7" s="245"/>
      <c r="AD7" s="244"/>
      <c r="AE7" s="245"/>
      <c r="AF7" s="244"/>
      <c r="AG7" s="245"/>
      <c r="AH7" s="244"/>
      <c r="AI7" s="245"/>
      <c r="AJ7" s="244"/>
      <c r="AK7" s="244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</row>
    <row r="8" spans="1:49" ht="12.5" x14ac:dyDescent="0.25">
      <c r="A8" s="164">
        <v>2</v>
      </c>
      <c r="B8" s="167" t="s">
        <v>176</v>
      </c>
      <c r="C8" s="167" t="s">
        <v>176</v>
      </c>
      <c r="E8" s="167" t="s">
        <v>173</v>
      </c>
      <c r="F8" s="167" t="s">
        <v>177</v>
      </c>
      <c r="I8" s="341"/>
      <c r="J8" s="341"/>
      <c r="K8" s="341"/>
      <c r="L8" s="341"/>
      <c r="M8" s="243"/>
      <c r="N8" s="244"/>
      <c r="O8" s="245"/>
      <c r="P8" s="244"/>
      <c r="Q8" s="245"/>
      <c r="R8" s="244"/>
      <c r="S8" s="245"/>
      <c r="T8" s="244"/>
      <c r="U8" s="245"/>
      <c r="V8" s="244"/>
      <c r="W8" s="245"/>
      <c r="X8" s="244"/>
      <c r="Y8" s="245"/>
      <c r="Z8" s="244"/>
      <c r="AA8" s="245"/>
      <c r="AB8" s="244"/>
      <c r="AC8" s="245"/>
      <c r="AD8" s="244"/>
      <c r="AE8" s="245"/>
      <c r="AF8" s="244"/>
      <c r="AG8" s="245"/>
      <c r="AH8" s="244"/>
      <c r="AI8" s="245"/>
      <c r="AJ8" s="244"/>
      <c r="AK8" s="245"/>
      <c r="AL8" s="244"/>
      <c r="AM8" s="244"/>
      <c r="AN8" s="170"/>
      <c r="AO8" s="170"/>
      <c r="AP8" s="170"/>
      <c r="AQ8" s="170"/>
      <c r="AR8" s="170"/>
      <c r="AS8" s="170"/>
      <c r="AT8" s="170"/>
      <c r="AU8" s="170"/>
      <c r="AV8" s="170"/>
      <c r="AW8" s="170"/>
    </row>
    <row r="9" spans="1:49" ht="18" customHeight="1" x14ac:dyDescent="0.25">
      <c r="A9" s="164">
        <v>3</v>
      </c>
      <c r="B9" s="248" t="s">
        <v>152</v>
      </c>
      <c r="C9" s="248" t="s">
        <v>152</v>
      </c>
      <c r="E9" s="248" t="s">
        <v>178</v>
      </c>
      <c r="F9" s="248" t="s">
        <v>179</v>
      </c>
      <c r="I9" s="341"/>
      <c r="J9" s="341"/>
      <c r="K9" s="341"/>
      <c r="L9" s="341"/>
      <c r="M9" s="243"/>
      <c r="N9" s="244"/>
      <c r="O9" s="244"/>
      <c r="P9" s="244"/>
      <c r="Q9" s="244"/>
      <c r="R9" s="244"/>
      <c r="S9" s="245"/>
      <c r="T9" s="244"/>
      <c r="U9" s="245"/>
      <c r="V9" s="244"/>
      <c r="W9" s="245"/>
      <c r="X9" s="244"/>
      <c r="Y9" s="245"/>
      <c r="Z9" s="244"/>
      <c r="AA9" s="245"/>
      <c r="AB9" s="244"/>
      <c r="AC9" s="245"/>
      <c r="AD9" s="244"/>
      <c r="AE9" s="245"/>
      <c r="AF9" s="244"/>
      <c r="AG9" s="245"/>
      <c r="AH9" s="244"/>
      <c r="AI9" s="245"/>
      <c r="AJ9" s="244"/>
      <c r="AK9" s="245"/>
      <c r="AL9" s="244"/>
      <c r="AM9" s="244"/>
      <c r="AN9" s="170"/>
      <c r="AO9" s="170"/>
      <c r="AP9" s="170"/>
      <c r="AQ9" s="170"/>
      <c r="AR9" s="170"/>
      <c r="AS9" s="170"/>
      <c r="AT9" s="170"/>
      <c r="AU9" s="170"/>
      <c r="AV9" s="170"/>
      <c r="AW9" s="170"/>
    </row>
    <row r="10" spans="1:49" ht="18" customHeight="1" x14ac:dyDescent="0.25">
      <c r="A10" s="164">
        <v>4</v>
      </c>
      <c r="B10" s="167" t="s">
        <v>174</v>
      </c>
      <c r="C10" s="167" t="s">
        <v>180</v>
      </c>
      <c r="E10" s="167" t="s">
        <v>181</v>
      </c>
      <c r="F10" s="167" t="s">
        <v>174</v>
      </c>
      <c r="I10" s="341"/>
      <c r="J10" s="341"/>
      <c r="K10" s="341"/>
      <c r="L10" s="341"/>
      <c r="M10" s="243"/>
      <c r="N10" s="244"/>
      <c r="O10" s="244"/>
      <c r="P10" s="244"/>
      <c r="Q10" s="244"/>
      <c r="R10" s="244"/>
      <c r="S10" s="244"/>
      <c r="T10" s="244"/>
      <c r="U10" s="244"/>
      <c r="V10" s="244"/>
      <c r="W10" s="245"/>
      <c r="X10" s="244"/>
      <c r="Y10" s="245"/>
      <c r="Z10" s="244"/>
      <c r="AA10" s="245"/>
      <c r="AB10" s="244"/>
      <c r="AC10" s="245"/>
      <c r="AD10" s="244"/>
      <c r="AE10" s="245"/>
      <c r="AF10" s="244"/>
      <c r="AG10" s="244"/>
      <c r="AH10" s="244"/>
      <c r="AI10" s="244"/>
      <c r="AJ10" s="244"/>
      <c r="AK10" s="244"/>
      <c r="AL10" s="244"/>
      <c r="AM10" s="244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</row>
    <row r="11" spans="1:49" ht="18" customHeight="1" x14ac:dyDescent="0.25">
      <c r="A11" s="164">
        <v>5</v>
      </c>
      <c r="B11" s="248" t="s">
        <v>181</v>
      </c>
      <c r="C11" s="248" t="s">
        <v>182</v>
      </c>
      <c r="E11" s="248" t="s">
        <v>183</v>
      </c>
      <c r="F11" s="248" t="s">
        <v>173</v>
      </c>
      <c r="I11" s="341"/>
      <c r="J11" s="341"/>
      <c r="K11" s="341"/>
      <c r="L11" s="341"/>
      <c r="M11" s="243"/>
      <c r="N11" s="244"/>
      <c r="O11" s="245"/>
      <c r="P11" s="244"/>
      <c r="Q11" s="244"/>
      <c r="R11" s="244"/>
      <c r="S11" s="244"/>
      <c r="T11" s="244"/>
      <c r="U11" s="245"/>
      <c r="V11" s="244"/>
      <c r="W11" s="245"/>
      <c r="X11" s="244"/>
      <c r="Y11" s="245"/>
      <c r="Z11" s="244"/>
      <c r="AA11" s="245"/>
      <c r="AB11" s="244"/>
      <c r="AC11" s="245"/>
      <c r="AD11" s="244"/>
      <c r="AE11" s="245"/>
      <c r="AF11" s="244"/>
      <c r="AG11" s="245"/>
      <c r="AH11" s="244"/>
      <c r="AI11" s="244"/>
      <c r="AJ11" s="244"/>
      <c r="AK11" s="244"/>
      <c r="AL11" s="244"/>
      <c r="AM11" s="244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</row>
    <row r="12" spans="1:49" ht="18" customHeight="1" x14ac:dyDescent="0.25">
      <c r="A12" s="164">
        <v>6</v>
      </c>
      <c r="B12" s="167" t="s">
        <v>184</v>
      </c>
      <c r="C12" s="167" t="s">
        <v>185</v>
      </c>
      <c r="E12" s="167" t="s">
        <v>186</v>
      </c>
      <c r="F12" s="167" t="s">
        <v>181</v>
      </c>
      <c r="I12" s="341"/>
      <c r="J12" s="341"/>
      <c r="K12" s="341"/>
      <c r="L12" s="341"/>
      <c r="M12" s="243"/>
      <c r="N12" s="244"/>
      <c r="O12" s="244"/>
      <c r="P12" s="244"/>
      <c r="Q12" s="244"/>
      <c r="R12" s="244"/>
      <c r="S12" s="244"/>
      <c r="T12" s="244"/>
      <c r="U12" s="245"/>
      <c r="V12" s="244"/>
      <c r="W12" s="245"/>
      <c r="X12" s="244"/>
      <c r="Y12" s="245"/>
      <c r="Z12" s="244"/>
      <c r="AA12" s="245"/>
      <c r="AB12" s="244"/>
      <c r="AC12" s="245"/>
      <c r="AD12" s="244"/>
      <c r="AE12" s="245"/>
      <c r="AF12" s="244"/>
      <c r="AG12" s="245"/>
      <c r="AH12" s="244"/>
      <c r="AI12" s="244"/>
      <c r="AJ12" s="244"/>
      <c r="AK12" s="245"/>
      <c r="AL12" s="244"/>
      <c r="AM12" s="244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49" ht="18" customHeight="1" x14ac:dyDescent="0.25">
      <c r="A13" s="164">
        <v>7</v>
      </c>
      <c r="B13" s="248" t="s">
        <v>178</v>
      </c>
      <c r="C13" s="248" t="s">
        <v>184</v>
      </c>
      <c r="E13" s="248" t="s">
        <v>187</v>
      </c>
      <c r="F13" s="248" t="s">
        <v>188</v>
      </c>
      <c r="I13" s="341"/>
      <c r="J13" s="341"/>
      <c r="K13" s="341"/>
      <c r="L13" s="341"/>
      <c r="M13" s="243"/>
      <c r="N13" s="244"/>
      <c r="O13" s="244"/>
      <c r="P13" s="244"/>
      <c r="Q13" s="244"/>
      <c r="R13" s="244"/>
      <c r="S13" s="244"/>
      <c r="T13" s="244"/>
      <c r="U13" s="244"/>
      <c r="V13" s="244"/>
      <c r="W13" s="245"/>
      <c r="X13" s="244"/>
      <c r="Y13" s="245"/>
      <c r="Z13" s="244"/>
      <c r="AA13" s="245"/>
      <c r="AB13" s="244"/>
      <c r="AC13" s="245"/>
      <c r="AD13" s="244"/>
      <c r="AE13" s="245"/>
      <c r="AF13" s="244"/>
      <c r="AG13" s="245"/>
      <c r="AH13" s="244"/>
      <c r="AI13" s="244"/>
      <c r="AJ13" s="244"/>
      <c r="AK13" s="244"/>
      <c r="AL13" s="244"/>
      <c r="AM13" s="244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49" ht="12.5" x14ac:dyDescent="0.25">
      <c r="A14" s="164">
        <v>8</v>
      </c>
      <c r="B14" s="167" t="s">
        <v>189</v>
      </c>
      <c r="C14" s="167" t="s">
        <v>174</v>
      </c>
      <c r="E14" s="167" t="s">
        <v>190</v>
      </c>
      <c r="F14" s="167" t="s">
        <v>191</v>
      </c>
      <c r="I14" s="341"/>
      <c r="J14" s="341"/>
      <c r="K14" s="341"/>
      <c r="L14" s="341"/>
      <c r="M14" s="243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5"/>
      <c r="Z14" s="244"/>
      <c r="AA14" s="245"/>
      <c r="AB14" s="244"/>
      <c r="AC14" s="245"/>
      <c r="AD14" s="244"/>
      <c r="AE14" s="245"/>
      <c r="AF14" s="244"/>
      <c r="AG14" s="244"/>
      <c r="AH14" s="244"/>
      <c r="AI14" s="244"/>
      <c r="AJ14" s="244"/>
      <c r="AK14" s="244"/>
      <c r="AL14" s="244"/>
      <c r="AM14" s="244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</row>
    <row r="15" spans="1:49" ht="18" customHeight="1" x14ac:dyDescent="0.25">
      <c r="A15" s="164">
        <v>9</v>
      </c>
      <c r="B15" s="248" t="s">
        <v>182</v>
      </c>
      <c r="C15" s="248" t="s">
        <v>192</v>
      </c>
      <c r="E15" s="248" t="s">
        <v>152</v>
      </c>
      <c r="F15" s="248" t="s">
        <v>193</v>
      </c>
      <c r="I15" s="341"/>
      <c r="J15" s="341"/>
      <c r="K15" s="341"/>
      <c r="L15" s="341"/>
      <c r="M15" s="243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5"/>
      <c r="Z15" s="244"/>
      <c r="AA15" s="245"/>
      <c r="AB15" s="244"/>
      <c r="AC15" s="245"/>
      <c r="AD15" s="244"/>
      <c r="AE15" s="245"/>
      <c r="AF15" s="244"/>
      <c r="AG15" s="244"/>
      <c r="AH15" s="244"/>
      <c r="AI15" s="244"/>
      <c r="AJ15" s="244"/>
      <c r="AK15" s="244"/>
      <c r="AL15" s="244"/>
      <c r="AM15" s="244"/>
      <c r="AN15" s="170"/>
    </row>
    <row r="16" spans="1:49" ht="18" customHeight="1" x14ac:dyDescent="0.25">
      <c r="A16" s="249">
        <v>10</v>
      </c>
      <c r="B16" s="250" t="s">
        <v>194</v>
      </c>
      <c r="C16" s="167" t="s">
        <v>194</v>
      </c>
      <c r="E16" s="250" t="s">
        <v>182</v>
      </c>
      <c r="F16" s="250" t="s">
        <v>195</v>
      </c>
      <c r="I16" s="341"/>
      <c r="J16" s="341"/>
      <c r="K16" s="341"/>
      <c r="L16" s="341"/>
      <c r="M16" s="243"/>
      <c r="N16" s="244"/>
      <c r="O16" s="244"/>
      <c r="P16" s="244"/>
      <c r="Q16" s="244"/>
      <c r="R16" s="244"/>
      <c r="S16" s="244"/>
      <c r="T16" s="244"/>
      <c r="U16" s="244"/>
      <c r="V16" s="244"/>
      <c r="W16" s="245"/>
      <c r="X16" s="244"/>
      <c r="Y16" s="245"/>
      <c r="Z16" s="244"/>
      <c r="AA16" s="245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170"/>
    </row>
    <row r="17" spans="1:46" ht="18" customHeight="1" x14ac:dyDescent="0.25">
      <c r="A17" s="240"/>
      <c r="B17" s="240"/>
      <c r="C17" s="240"/>
      <c r="D17" s="240"/>
      <c r="E17" s="240"/>
      <c r="F17" s="240"/>
      <c r="K17" s="341"/>
      <c r="L17" s="341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70"/>
    </row>
    <row r="18" spans="1:46" x14ac:dyDescent="0.25"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</row>
    <row r="20" spans="1:46" ht="18" customHeight="1" x14ac:dyDescent="0.25">
      <c r="A20" s="238"/>
      <c r="B20" s="342" t="s">
        <v>40</v>
      </c>
      <c r="C20" s="342"/>
      <c r="D20" s="342"/>
      <c r="E20" s="342"/>
      <c r="F20" s="342"/>
      <c r="K20" s="341"/>
      <c r="L20" s="341"/>
      <c r="M20" s="251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170"/>
    </row>
    <row r="21" spans="1:46" ht="12.5" x14ac:dyDescent="0.25">
      <c r="A21" s="166"/>
      <c r="B21" s="343" t="s">
        <v>169</v>
      </c>
      <c r="C21" s="343"/>
      <c r="E21" s="343" t="s">
        <v>170</v>
      </c>
      <c r="F21" s="343"/>
      <c r="I21" s="341"/>
      <c r="J21" s="341"/>
      <c r="K21" s="341"/>
      <c r="L21" s="341"/>
      <c r="M21" s="251"/>
      <c r="N21" s="244"/>
      <c r="O21" s="244"/>
      <c r="P21" s="244"/>
      <c r="Q21" s="341"/>
      <c r="R21" s="341"/>
      <c r="S21" s="243"/>
      <c r="T21" s="244"/>
      <c r="U21" s="244"/>
      <c r="V21" s="244"/>
      <c r="W21" s="244"/>
      <c r="X21" s="244"/>
      <c r="Y21" s="244"/>
      <c r="Z21" s="244"/>
      <c r="AA21" s="244"/>
      <c r="AB21" s="244"/>
      <c r="AC21" s="245"/>
      <c r="AD21" s="244"/>
      <c r="AE21" s="245"/>
      <c r="AF21" s="244"/>
      <c r="AG21" s="245"/>
      <c r="AH21" s="244"/>
      <c r="AI21" s="245"/>
      <c r="AJ21" s="244"/>
      <c r="AK21" s="245"/>
      <c r="AL21" s="244"/>
      <c r="AM21" s="244"/>
      <c r="AN21" s="244"/>
      <c r="AO21" s="244"/>
      <c r="AP21" s="244"/>
      <c r="AQ21" s="244"/>
      <c r="AR21" s="244"/>
      <c r="AS21" s="170"/>
      <c r="AT21" s="170"/>
    </row>
    <row r="22" spans="1:46" ht="18" customHeight="1" x14ac:dyDescent="0.25">
      <c r="A22" s="240"/>
      <c r="B22" s="241" t="s">
        <v>171</v>
      </c>
      <c r="C22" s="242" t="s">
        <v>172</v>
      </c>
      <c r="E22" s="241" t="s">
        <v>171</v>
      </c>
      <c r="F22" s="242" t="s">
        <v>172</v>
      </c>
      <c r="I22" s="341"/>
      <c r="J22" s="341"/>
      <c r="K22" s="341"/>
      <c r="L22" s="341"/>
      <c r="M22" s="251"/>
      <c r="N22" s="244"/>
      <c r="O22" s="244"/>
      <c r="P22" s="244"/>
      <c r="Q22" s="341"/>
      <c r="R22" s="341"/>
      <c r="S22" s="243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5"/>
      <c r="AF22" s="244"/>
      <c r="AG22" s="245"/>
      <c r="AH22" s="244"/>
      <c r="AI22" s="245"/>
      <c r="AJ22" s="244"/>
      <c r="AK22" s="245"/>
      <c r="AL22" s="244"/>
      <c r="AM22" s="244"/>
      <c r="AN22" s="244"/>
      <c r="AO22" s="244"/>
      <c r="AP22" s="244"/>
      <c r="AQ22" s="244"/>
      <c r="AR22" s="244"/>
      <c r="AS22" s="170"/>
      <c r="AT22" s="170"/>
    </row>
    <row r="23" spans="1:46" ht="18" customHeight="1" x14ac:dyDescent="0.25">
      <c r="I23" s="341"/>
      <c r="J23" s="341"/>
      <c r="K23" s="341"/>
      <c r="L23" s="341"/>
      <c r="M23" s="251"/>
      <c r="N23" s="244"/>
      <c r="O23" s="244"/>
      <c r="P23" s="244"/>
      <c r="Q23" s="341"/>
      <c r="R23" s="341"/>
      <c r="S23" s="243"/>
      <c r="T23" s="244"/>
      <c r="U23" s="244"/>
      <c r="V23" s="244"/>
      <c r="W23" s="244"/>
      <c r="X23" s="244"/>
      <c r="Y23" s="244"/>
      <c r="Z23" s="244"/>
      <c r="AA23" s="244"/>
      <c r="AB23" s="244"/>
      <c r="AC23" s="245"/>
      <c r="AD23" s="244"/>
      <c r="AE23" s="245"/>
      <c r="AF23" s="244"/>
      <c r="AG23" s="245"/>
      <c r="AH23" s="244"/>
      <c r="AI23" s="245"/>
      <c r="AJ23" s="244"/>
      <c r="AK23" s="245"/>
      <c r="AL23" s="244"/>
      <c r="AM23" s="244"/>
      <c r="AN23" s="244"/>
      <c r="AO23" s="244"/>
      <c r="AP23" s="244"/>
      <c r="AQ23" s="244"/>
      <c r="AR23" s="244"/>
      <c r="AS23" s="170"/>
      <c r="AT23" s="170"/>
    </row>
    <row r="24" spans="1:46" ht="12.5" x14ac:dyDescent="0.25">
      <c r="A24" s="164">
        <v>1</v>
      </c>
      <c r="B24" s="252" t="s">
        <v>196</v>
      </c>
      <c r="C24" s="248" t="s">
        <v>176</v>
      </c>
      <c r="E24" s="248" t="s">
        <v>181</v>
      </c>
      <c r="F24" s="248" t="s">
        <v>197</v>
      </c>
      <c r="G24" s="246"/>
      <c r="I24" s="341"/>
      <c r="J24" s="341"/>
      <c r="K24" s="341"/>
      <c r="L24" s="341"/>
      <c r="M24" s="251"/>
      <c r="N24" s="244"/>
      <c r="O24" s="244"/>
      <c r="P24" s="244"/>
      <c r="Q24" s="341"/>
      <c r="R24" s="341"/>
      <c r="S24" s="243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5"/>
      <c r="AH24" s="244"/>
      <c r="AI24" s="245"/>
      <c r="AJ24" s="244"/>
      <c r="AK24" s="244"/>
      <c r="AL24" s="244"/>
      <c r="AM24" s="244"/>
      <c r="AN24" s="244"/>
      <c r="AO24" s="244"/>
      <c r="AP24" s="244"/>
      <c r="AQ24" s="244"/>
      <c r="AR24" s="244"/>
      <c r="AS24" s="170"/>
      <c r="AT24" s="170"/>
    </row>
    <row r="25" spans="1:46" ht="18" customHeight="1" x14ac:dyDescent="0.25">
      <c r="A25" s="164">
        <v>2</v>
      </c>
      <c r="C25" s="167" t="s">
        <v>198</v>
      </c>
      <c r="E25" s="167" t="s">
        <v>199</v>
      </c>
      <c r="F25" s="167" t="s">
        <v>200</v>
      </c>
      <c r="G25" s="246"/>
      <c r="I25" s="341"/>
      <c r="J25" s="341"/>
      <c r="K25" s="341"/>
      <c r="L25" s="341"/>
      <c r="M25" s="251"/>
      <c r="N25" s="244"/>
      <c r="O25" s="244"/>
      <c r="P25" s="244"/>
      <c r="Q25" s="341"/>
      <c r="R25" s="341"/>
      <c r="S25" s="243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5"/>
      <c r="AF25" s="244"/>
      <c r="AG25" s="245"/>
      <c r="AH25" s="244"/>
      <c r="AI25" s="245"/>
      <c r="AJ25" s="244"/>
      <c r="AK25" s="245"/>
      <c r="AL25" s="244"/>
      <c r="AM25" s="244"/>
      <c r="AN25" s="244"/>
      <c r="AO25" s="244"/>
      <c r="AP25" s="244"/>
      <c r="AQ25" s="244"/>
      <c r="AR25" s="244"/>
      <c r="AS25" s="170"/>
      <c r="AT25" s="170"/>
    </row>
    <row r="26" spans="1:46" ht="12.5" x14ac:dyDescent="0.25">
      <c r="A26" s="164">
        <v>3</v>
      </c>
      <c r="B26" s="247"/>
      <c r="C26" s="248" t="s">
        <v>201</v>
      </c>
      <c r="E26" s="248" t="s">
        <v>202</v>
      </c>
      <c r="F26" s="248" t="s">
        <v>177</v>
      </c>
      <c r="G26" s="246"/>
      <c r="I26" s="341"/>
      <c r="J26" s="341"/>
      <c r="K26" s="341"/>
      <c r="L26" s="341"/>
      <c r="M26" s="251"/>
      <c r="N26" s="244"/>
      <c r="O26" s="244"/>
      <c r="P26" s="244"/>
      <c r="Q26" s="341"/>
      <c r="R26" s="341"/>
      <c r="S26" s="243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5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170"/>
      <c r="AT26" s="170"/>
    </row>
    <row r="27" spans="1:46" ht="18" customHeight="1" x14ac:dyDescent="0.25">
      <c r="A27" s="164">
        <v>4</v>
      </c>
      <c r="C27" s="167" t="s">
        <v>203</v>
      </c>
      <c r="E27" s="167" t="s">
        <v>204</v>
      </c>
      <c r="F27" s="167" t="s">
        <v>188</v>
      </c>
      <c r="G27" s="246"/>
      <c r="I27" s="341"/>
      <c r="J27" s="341"/>
      <c r="K27" s="341"/>
      <c r="L27" s="341"/>
      <c r="M27" s="251"/>
      <c r="N27" s="244"/>
      <c r="O27" s="244"/>
      <c r="P27" s="244"/>
      <c r="Q27" s="341"/>
      <c r="R27" s="341"/>
      <c r="S27" s="243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5"/>
      <c r="AL27" s="244"/>
      <c r="AM27" s="244"/>
      <c r="AN27" s="244"/>
      <c r="AO27" s="244"/>
      <c r="AP27" s="244"/>
      <c r="AQ27" s="244"/>
      <c r="AR27" s="244"/>
      <c r="AS27" s="170"/>
      <c r="AT27" s="170"/>
    </row>
    <row r="28" spans="1:46" ht="18" customHeight="1" x14ac:dyDescent="0.25">
      <c r="A28" s="164">
        <v>5</v>
      </c>
      <c r="C28" s="248" t="s">
        <v>205</v>
      </c>
      <c r="E28" s="248" t="s">
        <v>206</v>
      </c>
      <c r="F28" s="248" t="s">
        <v>207</v>
      </c>
      <c r="G28" s="246"/>
      <c r="I28" s="341"/>
      <c r="J28" s="341"/>
      <c r="K28" s="341"/>
      <c r="L28" s="341"/>
      <c r="M28" s="251"/>
      <c r="N28" s="244"/>
      <c r="O28" s="244"/>
      <c r="P28" s="244"/>
      <c r="Q28" s="341"/>
      <c r="R28" s="341"/>
      <c r="S28" s="243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170"/>
      <c r="AT28" s="170"/>
    </row>
    <row r="29" spans="1:46" ht="18" customHeight="1" x14ac:dyDescent="0.25">
      <c r="A29" s="164">
        <v>6</v>
      </c>
      <c r="C29" s="167" t="s">
        <v>208</v>
      </c>
      <c r="E29" s="167" t="s">
        <v>190</v>
      </c>
      <c r="F29" s="167" t="s">
        <v>191</v>
      </c>
      <c r="G29" s="246"/>
      <c r="I29" s="341"/>
      <c r="J29" s="341"/>
      <c r="K29" s="341"/>
      <c r="L29" s="341"/>
      <c r="M29" s="185"/>
      <c r="N29" s="185"/>
      <c r="O29" s="185"/>
      <c r="P29" s="185"/>
      <c r="Q29" s="341"/>
      <c r="R29" s="341"/>
      <c r="S29" s="243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5"/>
      <c r="AH29" s="244"/>
      <c r="AI29" s="245"/>
      <c r="AJ29" s="244"/>
      <c r="AK29" s="244"/>
      <c r="AL29" s="244"/>
      <c r="AM29" s="244"/>
      <c r="AN29" s="244"/>
      <c r="AO29" s="244"/>
      <c r="AP29" s="244"/>
      <c r="AQ29" s="244"/>
      <c r="AR29" s="244"/>
      <c r="AS29" s="170"/>
      <c r="AT29" s="170"/>
    </row>
    <row r="30" spans="1:46" ht="12.5" x14ac:dyDescent="0.25">
      <c r="A30" s="164">
        <v>7</v>
      </c>
      <c r="C30" s="248" t="s">
        <v>209</v>
      </c>
      <c r="E30" s="248" t="s">
        <v>210</v>
      </c>
      <c r="F30" s="248" t="s">
        <v>211</v>
      </c>
      <c r="G30" s="246"/>
      <c r="H30" s="341"/>
      <c r="I30" s="341"/>
      <c r="J30" s="243"/>
      <c r="K30" s="244"/>
      <c r="L30" s="244"/>
      <c r="M30" s="244"/>
      <c r="N30" s="244"/>
      <c r="O30" s="244"/>
      <c r="P30" s="244"/>
      <c r="Q30" s="244"/>
      <c r="R30" s="244"/>
      <c r="S30" s="244"/>
      <c r="T30" s="245"/>
      <c r="U30" s="244"/>
      <c r="V30" s="245"/>
      <c r="W30" s="244"/>
      <c r="X30" s="245"/>
      <c r="Y30" s="244"/>
      <c r="Z30" s="245"/>
      <c r="AA30" s="244"/>
      <c r="AB30" s="245"/>
      <c r="AC30" s="244"/>
      <c r="AD30" s="245"/>
      <c r="AE30" s="244"/>
      <c r="AF30" s="244"/>
      <c r="AG30" s="244"/>
      <c r="AH30" s="244"/>
      <c r="AI30" s="244"/>
      <c r="AJ30" s="185"/>
      <c r="AK30" s="185"/>
      <c r="AL30" s="185"/>
      <c r="AM30" s="185"/>
      <c r="AN30" s="185"/>
      <c r="AO30" s="185"/>
      <c r="AP30" s="185"/>
      <c r="AQ30" s="185"/>
      <c r="AR30" s="185"/>
      <c r="AS30" s="170"/>
      <c r="AT30" s="170"/>
    </row>
    <row r="31" spans="1:46" ht="18" customHeight="1" x14ac:dyDescent="0.25">
      <c r="A31" s="164">
        <v>8</v>
      </c>
      <c r="C31" s="167" t="s">
        <v>188</v>
      </c>
      <c r="E31" s="167" t="s">
        <v>176</v>
      </c>
      <c r="F31" s="167" t="s">
        <v>212</v>
      </c>
      <c r="G31" s="246"/>
      <c r="H31" s="341"/>
      <c r="I31" s="341"/>
      <c r="J31" s="243"/>
      <c r="K31" s="244"/>
      <c r="L31" s="244"/>
      <c r="M31" s="244"/>
      <c r="N31" s="244"/>
      <c r="O31" s="244"/>
      <c r="P31" s="244"/>
      <c r="Q31" s="244"/>
      <c r="R31" s="244"/>
      <c r="S31" s="244"/>
      <c r="T31" s="245"/>
      <c r="U31" s="244"/>
      <c r="V31" s="245"/>
      <c r="W31" s="244"/>
      <c r="X31" s="245"/>
      <c r="Y31" s="244"/>
      <c r="Z31" s="245"/>
      <c r="AA31" s="244"/>
      <c r="AB31" s="245"/>
      <c r="AC31" s="244"/>
      <c r="AD31" s="244"/>
      <c r="AE31" s="244"/>
      <c r="AF31" s="244"/>
      <c r="AG31" s="244"/>
      <c r="AH31" s="244"/>
      <c r="AI31" s="244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</row>
    <row r="32" spans="1:46" ht="18" customHeight="1" x14ac:dyDescent="0.25">
      <c r="A32" s="164">
        <v>9</v>
      </c>
      <c r="C32" s="248" t="s">
        <v>213</v>
      </c>
      <c r="E32" s="248" t="s">
        <v>214</v>
      </c>
      <c r="F32" s="248" t="s">
        <v>190</v>
      </c>
      <c r="G32" s="246"/>
      <c r="H32" s="341"/>
      <c r="I32" s="341"/>
      <c r="J32" s="243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5"/>
      <c r="Y32" s="244"/>
      <c r="Z32" s="245"/>
      <c r="AA32" s="244"/>
      <c r="AB32" s="244"/>
      <c r="AC32" s="244"/>
      <c r="AD32" s="244"/>
      <c r="AE32" s="244"/>
      <c r="AF32" s="244"/>
      <c r="AG32" s="244"/>
      <c r="AH32" s="244"/>
      <c r="AI32" s="244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</row>
    <row r="33" spans="1:42" ht="12.5" x14ac:dyDescent="0.25">
      <c r="A33" s="164">
        <v>10</v>
      </c>
      <c r="C33" s="250" t="s">
        <v>196</v>
      </c>
      <c r="E33" s="250" t="s">
        <v>215</v>
      </c>
      <c r="F33" s="250" t="s">
        <v>216</v>
      </c>
      <c r="G33" s="246"/>
      <c r="H33" s="341"/>
      <c r="I33" s="341"/>
      <c r="J33" s="243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5"/>
      <c r="W33" s="244"/>
      <c r="X33" s="245"/>
      <c r="Y33" s="244"/>
      <c r="Z33" s="245"/>
      <c r="AA33" s="244"/>
      <c r="AB33" s="245"/>
      <c r="AC33" s="244"/>
      <c r="AD33" s="244"/>
      <c r="AE33" s="244"/>
      <c r="AF33" s="244"/>
      <c r="AG33" s="244"/>
      <c r="AH33" s="244"/>
      <c r="AI33" s="244"/>
      <c r="AJ33" s="170"/>
      <c r="AK33" s="170"/>
      <c r="AL33" s="170"/>
      <c r="AM33" s="170"/>
      <c r="AN33" s="170"/>
      <c r="AO33" s="170"/>
      <c r="AP33" s="170"/>
    </row>
    <row r="34" spans="1:42" ht="12.5" x14ac:dyDescent="0.25">
      <c r="A34" s="240"/>
      <c r="B34" s="240"/>
      <c r="C34" s="240"/>
      <c r="D34" s="240"/>
      <c r="E34" s="253"/>
      <c r="F34" s="253"/>
      <c r="H34" s="341"/>
      <c r="I34" s="341"/>
      <c r="J34" s="243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170"/>
      <c r="AK34" s="170"/>
      <c r="AL34" s="170"/>
      <c r="AM34" s="170"/>
      <c r="AN34" s="170"/>
      <c r="AO34" s="170"/>
      <c r="AP34" s="170"/>
    </row>
    <row r="35" spans="1:42" ht="18" customHeight="1" x14ac:dyDescent="0.25">
      <c r="H35" s="341"/>
      <c r="I35" s="341"/>
      <c r="J35" s="243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5"/>
      <c r="Y35" s="244"/>
      <c r="Z35" s="245"/>
      <c r="AA35" s="244"/>
      <c r="AB35" s="244"/>
      <c r="AC35" s="244"/>
      <c r="AD35" s="244"/>
      <c r="AE35" s="244"/>
      <c r="AF35" s="244"/>
      <c r="AG35" s="244"/>
      <c r="AH35" s="244"/>
      <c r="AI35" s="244"/>
      <c r="AJ35" s="170"/>
      <c r="AK35" s="170"/>
      <c r="AL35" s="170"/>
      <c r="AM35" s="170"/>
      <c r="AN35" s="170"/>
      <c r="AO35" s="170"/>
      <c r="AP35" s="170"/>
    </row>
    <row r="36" spans="1:42" ht="18" customHeight="1" x14ac:dyDescent="0.25">
      <c r="H36" s="341"/>
      <c r="I36" s="341"/>
      <c r="J36" s="243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5"/>
      <c r="W36" s="244"/>
      <c r="X36" s="245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170"/>
      <c r="AK36" s="170"/>
      <c r="AL36" s="170"/>
      <c r="AM36" s="170"/>
      <c r="AN36" s="170"/>
      <c r="AO36" s="170"/>
      <c r="AP36" s="170"/>
    </row>
    <row r="37" spans="1:42" ht="18" customHeight="1" x14ac:dyDescent="0.25">
      <c r="A37" s="238"/>
      <c r="B37" s="342" t="s">
        <v>41</v>
      </c>
      <c r="C37" s="342"/>
      <c r="D37" s="342"/>
      <c r="E37" s="342"/>
      <c r="F37" s="342"/>
      <c r="H37" s="341"/>
      <c r="I37" s="341"/>
      <c r="J37" s="243"/>
      <c r="K37" s="244"/>
      <c r="L37" s="244"/>
      <c r="M37" s="244"/>
      <c r="N37" s="245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170"/>
      <c r="AK37" s="170"/>
      <c r="AL37" s="170"/>
      <c r="AM37" s="170"/>
      <c r="AN37" s="170"/>
      <c r="AO37" s="170"/>
      <c r="AP37" s="170"/>
    </row>
    <row r="38" spans="1:42" ht="18" customHeight="1" x14ac:dyDescent="0.25">
      <c r="A38" s="166"/>
      <c r="B38" s="343" t="s">
        <v>169</v>
      </c>
      <c r="C38" s="343"/>
      <c r="E38" s="343" t="s">
        <v>170</v>
      </c>
      <c r="F38" s="343"/>
      <c r="H38" s="341"/>
      <c r="I38" s="341"/>
      <c r="J38" s="243"/>
      <c r="K38" s="244"/>
      <c r="L38" s="245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170"/>
      <c r="AK38" s="170"/>
      <c r="AL38" s="170"/>
      <c r="AM38" s="170"/>
      <c r="AN38" s="170"/>
      <c r="AO38" s="170"/>
      <c r="AP38" s="170"/>
    </row>
    <row r="39" spans="1:42" ht="12.5" x14ac:dyDescent="0.25">
      <c r="A39" s="240"/>
      <c r="B39" s="241" t="s">
        <v>171</v>
      </c>
      <c r="C39" s="242" t="s">
        <v>172</v>
      </c>
      <c r="E39" s="241" t="s">
        <v>171</v>
      </c>
      <c r="F39" s="242" t="s">
        <v>172</v>
      </c>
      <c r="H39" s="341"/>
      <c r="I39" s="341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70"/>
      <c r="AK39" s="170"/>
      <c r="AL39" s="170"/>
      <c r="AM39" s="170"/>
      <c r="AN39" s="170"/>
      <c r="AO39" s="170"/>
      <c r="AP39" s="170"/>
    </row>
    <row r="40" spans="1:42" ht="12.5" x14ac:dyDescent="0.25">
      <c r="H40" s="170"/>
      <c r="I40" s="341"/>
      <c r="J40" s="341"/>
      <c r="K40" s="243"/>
      <c r="L40" s="244"/>
      <c r="M40" s="245"/>
      <c r="N40" s="244"/>
      <c r="O40" s="245"/>
      <c r="P40" s="244"/>
      <c r="Q40" s="245"/>
      <c r="R40" s="244"/>
      <c r="S40" s="245"/>
      <c r="T40" s="244"/>
      <c r="U40" s="245"/>
      <c r="V40" s="244"/>
      <c r="W40" s="245"/>
      <c r="X40" s="244"/>
      <c r="Y40" s="245"/>
      <c r="Z40" s="244"/>
      <c r="AA40" s="245"/>
      <c r="AB40" s="244"/>
      <c r="AC40" s="245"/>
      <c r="AD40" s="244"/>
      <c r="AE40" s="245"/>
      <c r="AF40" s="244"/>
      <c r="AG40" s="245"/>
      <c r="AH40" s="244"/>
      <c r="AI40" s="245"/>
      <c r="AJ40" s="244"/>
      <c r="AK40" s="170"/>
      <c r="AL40" s="170"/>
      <c r="AM40" s="170"/>
      <c r="AN40" s="170"/>
      <c r="AO40" s="170"/>
      <c r="AP40" s="170"/>
    </row>
    <row r="41" spans="1:42" ht="12.5" x14ac:dyDescent="0.25">
      <c r="A41" s="164">
        <v>1</v>
      </c>
      <c r="B41" s="248" t="s">
        <v>181</v>
      </c>
      <c r="C41" s="248" t="s">
        <v>176</v>
      </c>
      <c r="E41" s="248" t="s">
        <v>217</v>
      </c>
      <c r="F41" s="248" t="s">
        <v>197</v>
      </c>
      <c r="H41" s="170"/>
      <c r="I41" s="341"/>
      <c r="J41" s="341"/>
      <c r="K41" s="243"/>
      <c r="L41" s="244"/>
      <c r="M41" s="244"/>
      <c r="N41" s="244"/>
      <c r="O41" s="244"/>
      <c r="P41" s="244"/>
      <c r="Q41" s="244"/>
      <c r="R41" s="244"/>
      <c r="S41" s="245"/>
      <c r="T41" s="244"/>
      <c r="U41" s="245"/>
      <c r="V41" s="244"/>
      <c r="W41" s="245"/>
      <c r="X41" s="244"/>
      <c r="Y41" s="245"/>
      <c r="Z41" s="244"/>
      <c r="AA41" s="245"/>
      <c r="AB41" s="244"/>
      <c r="AC41" s="245"/>
      <c r="AD41" s="244"/>
      <c r="AE41" s="245"/>
      <c r="AF41" s="244"/>
      <c r="AG41" s="244"/>
      <c r="AH41" s="244"/>
      <c r="AI41" s="244"/>
      <c r="AJ41" s="244"/>
      <c r="AK41" s="170"/>
      <c r="AL41" s="170"/>
      <c r="AM41" s="170"/>
      <c r="AN41" s="170"/>
      <c r="AO41" s="170"/>
      <c r="AP41" s="170"/>
    </row>
    <row r="42" spans="1:42" ht="18" customHeight="1" x14ac:dyDescent="0.25">
      <c r="A42" s="164">
        <v>2</v>
      </c>
      <c r="B42" s="167" t="s">
        <v>208</v>
      </c>
      <c r="C42" s="167" t="s">
        <v>198</v>
      </c>
      <c r="E42" s="167" t="s">
        <v>218</v>
      </c>
      <c r="F42" s="167" t="s">
        <v>212</v>
      </c>
      <c r="H42" s="170"/>
      <c r="I42" s="341"/>
      <c r="J42" s="341"/>
      <c r="K42" s="243"/>
      <c r="L42" s="244"/>
      <c r="M42" s="244"/>
      <c r="N42" s="244"/>
      <c r="O42" s="244"/>
      <c r="P42" s="244"/>
      <c r="Q42" s="244"/>
      <c r="R42" s="244"/>
      <c r="S42" s="244"/>
      <c r="T42" s="244"/>
      <c r="U42" s="245"/>
      <c r="V42" s="244"/>
      <c r="W42" s="245"/>
      <c r="X42" s="244"/>
      <c r="Y42" s="245"/>
      <c r="Z42" s="244"/>
      <c r="AA42" s="245"/>
      <c r="AB42" s="244"/>
      <c r="AC42" s="245"/>
      <c r="AD42" s="244"/>
      <c r="AE42" s="245"/>
      <c r="AF42" s="244"/>
      <c r="AG42" s="244"/>
      <c r="AH42" s="244"/>
      <c r="AI42" s="244"/>
      <c r="AJ42" s="244"/>
      <c r="AK42" s="170"/>
      <c r="AL42" s="170"/>
      <c r="AM42" s="170"/>
      <c r="AN42" s="170"/>
      <c r="AO42" s="170"/>
      <c r="AP42" s="170"/>
    </row>
    <row r="43" spans="1:42" ht="20" customHeight="1" x14ac:dyDescent="0.25">
      <c r="A43" s="164">
        <v>3</v>
      </c>
      <c r="B43" s="248" t="s">
        <v>217</v>
      </c>
      <c r="C43" s="248" t="s">
        <v>205</v>
      </c>
      <c r="E43" s="248" t="s">
        <v>190</v>
      </c>
      <c r="F43" s="248" t="s">
        <v>181</v>
      </c>
      <c r="I43" s="341"/>
      <c r="J43" s="341"/>
      <c r="K43" s="243"/>
      <c r="L43" s="244"/>
      <c r="M43" s="244"/>
      <c r="N43" s="244"/>
      <c r="O43" s="244"/>
      <c r="P43" s="244"/>
      <c r="Q43" s="244"/>
      <c r="R43" s="244"/>
      <c r="S43" s="245"/>
      <c r="T43" s="244"/>
      <c r="U43" s="245"/>
      <c r="V43" s="244"/>
      <c r="W43" s="245"/>
      <c r="X43" s="244"/>
      <c r="Y43" s="245"/>
      <c r="Z43" s="244"/>
      <c r="AA43" s="245"/>
      <c r="AB43" s="244"/>
      <c r="AC43" s="245"/>
      <c r="AD43" s="244"/>
      <c r="AE43" s="245"/>
      <c r="AF43" s="244"/>
      <c r="AG43" s="244"/>
      <c r="AH43" s="244"/>
      <c r="AI43" s="244"/>
      <c r="AJ43" s="244"/>
      <c r="AK43" s="170"/>
    </row>
    <row r="44" spans="1:42" ht="12.5" x14ac:dyDescent="0.25">
      <c r="A44" s="164">
        <v>4</v>
      </c>
      <c r="B44" s="167"/>
      <c r="C44" s="167" t="s">
        <v>201</v>
      </c>
      <c r="E44" s="167" t="s">
        <v>219</v>
      </c>
      <c r="F44" s="167" t="s">
        <v>220</v>
      </c>
      <c r="I44" s="341"/>
      <c r="J44" s="341"/>
      <c r="K44" s="243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5"/>
      <c r="X44" s="244"/>
      <c r="Y44" s="245"/>
      <c r="Z44" s="244"/>
      <c r="AA44" s="245"/>
      <c r="AB44" s="244"/>
      <c r="AC44" s="245"/>
      <c r="AD44" s="244"/>
      <c r="AE44" s="245"/>
      <c r="AF44" s="244"/>
      <c r="AG44" s="244"/>
      <c r="AH44" s="244"/>
      <c r="AI44" s="244"/>
      <c r="AJ44" s="244"/>
      <c r="AK44" s="170"/>
    </row>
    <row r="45" spans="1:42" ht="18" customHeight="1" x14ac:dyDescent="0.25">
      <c r="A45" s="164">
        <v>5</v>
      </c>
      <c r="B45" s="184"/>
      <c r="C45" s="248" t="s">
        <v>182</v>
      </c>
      <c r="E45" s="248" t="s">
        <v>221</v>
      </c>
      <c r="F45" s="248" t="s">
        <v>217</v>
      </c>
      <c r="I45" s="341"/>
      <c r="J45" s="341"/>
      <c r="K45" s="243"/>
      <c r="L45" s="244"/>
      <c r="M45" s="244"/>
      <c r="N45" s="244"/>
      <c r="O45" s="244"/>
      <c r="P45" s="244"/>
      <c r="Q45" s="244"/>
      <c r="R45" s="244"/>
      <c r="S45" s="244"/>
      <c r="T45" s="244"/>
      <c r="U45" s="245"/>
      <c r="V45" s="244"/>
      <c r="W45" s="245"/>
      <c r="X45" s="244"/>
      <c r="Y45" s="245"/>
      <c r="Z45" s="244"/>
      <c r="AA45" s="245"/>
      <c r="AB45" s="244"/>
      <c r="AC45" s="245"/>
      <c r="AD45" s="244"/>
      <c r="AE45" s="244"/>
      <c r="AF45" s="244"/>
      <c r="AG45" s="244"/>
      <c r="AH45" s="244"/>
      <c r="AI45" s="244"/>
      <c r="AJ45" s="244"/>
      <c r="AK45" s="170"/>
    </row>
    <row r="46" spans="1:42" ht="12.5" x14ac:dyDescent="0.25">
      <c r="A46" s="164">
        <v>6</v>
      </c>
      <c r="B46" s="167"/>
      <c r="C46" s="167" t="s">
        <v>208</v>
      </c>
      <c r="E46" s="167" t="s">
        <v>206</v>
      </c>
      <c r="F46" s="167" t="s">
        <v>179</v>
      </c>
      <c r="I46" s="341"/>
      <c r="J46" s="341"/>
      <c r="K46" s="243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5"/>
      <c r="Z46" s="244"/>
      <c r="AA46" s="245"/>
      <c r="AB46" s="244"/>
      <c r="AC46" s="245"/>
      <c r="AD46" s="244"/>
      <c r="AE46" s="244"/>
      <c r="AF46" s="244"/>
      <c r="AG46" s="244"/>
      <c r="AH46" s="244"/>
      <c r="AI46" s="244"/>
      <c r="AJ46" s="244"/>
      <c r="AK46" s="170"/>
    </row>
    <row r="47" spans="1:42" ht="18" customHeight="1" x14ac:dyDescent="0.25">
      <c r="A47" s="164">
        <v>7</v>
      </c>
      <c r="B47" s="167"/>
      <c r="C47" s="248" t="s">
        <v>209</v>
      </c>
      <c r="E47" s="248" t="s">
        <v>219</v>
      </c>
      <c r="F47" s="248" t="s">
        <v>205</v>
      </c>
      <c r="I47" s="341"/>
      <c r="J47" s="341"/>
      <c r="K47" s="243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5"/>
      <c r="X47" s="244"/>
      <c r="Y47" s="245"/>
      <c r="Z47" s="244"/>
      <c r="AA47" s="245"/>
      <c r="AB47" s="244"/>
      <c r="AC47" s="245"/>
      <c r="AD47" s="244"/>
      <c r="AE47" s="244"/>
      <c r="AF47" s="244"/>
      <c r="AG47" s="244"/>
      <c r="AH47" s="244"/>
      <c r="AI47" s="244"/>
      <c r="AJ47" s="244"/>
      <c r="AK47" s="170"/>
    </row>
    <row r="48" spans="1:42" ht="12.5" x14ac:dyDescent="0.25">
      <c r="A48" s="164">
        <v>8</v>
      </c>
      <c r="B48" s="167"/>
      <c r="C48" s="167" t="s">
        <v>181</v>
      </c>
      <c r="E48" s="167" t="s">
        <v>222</v>
      </c>
      <c r="F48" s="167" t="s">
        <v>223</v>
      </c>
      <c r="I48" s="341"/>
      <c r="J48" s="341"/>
      <c r="K48" s="243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5"/>
      <c r="X48" s="244"/>
      <c r="Y48" s="245"/>
      <c r="Z48" s="244"/>
      <c r="AA48" s="245"/>
      <c r="AB48" s="244"/>
      <c r="AC48" s="245"/>
      <c r="AD48" s="244"/>
      <c r="AE48" s="244"/>
      <c r="AF48" s="244"/>
      <c r="AG48" s="244"/>
      <c r="AH48" s="244"/>
      <c r="AI48" s="244"/>
      <c r="AJ48" s="244"/>
      <c r="AK48" s="170"/>
    </row>
    <row r="49" spans="1:37" ht="12.5" x14ac:dyDescent="0.25">
      <c r="A49" s="164">
        <v>9</v>
      </c>
      <c r="B49" s="167"/>
      <c r="C49" s="248" t="s">
        <v>224</v>
      </c>
      <c r="E49" s="248" t="s">
        <v>204</v>
      </c>
      <c r="F49" s="248" t="s">
        <v>225</v>
      </c>
      <c r="I49" s="341"/>
      <c r="J49" s="341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70"/>
    </row>
    <row r="50" spans="1:37" ht="21.5" customHeight="1" x14ac:dyDescent="0.25">
      <c r="A50" s="164">
        <v>10</v>
      </c>
      <c r="B50" s="167"/>
      <c r="C50" s="250" t="s">
        <v>226</v>
      </c>
      <c r="E50" s="250" t="s">
        <v>227</v>
      </c>
      <c r="F50" s="250" t="s">
        <v>198</v>
      </c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</row>
    <row r="51" spans="1:37" x14ac:dyDescent="0.25">
      <c r="A51" s="240"/>
      <c r="B51" s="240"/>
      <c r="C51" s="240"/>
      <c r="D51" s="254"/>
      <c r="E51" s="240"/>
      <c r="F51" s="254"/>
    </row>
    <row r="52" spans="1:37" s="194" customFormat="1" ht="12" x14ac:dyDescent="0.3">
      <c r="A52" s="194" t="s">
        <v>53</v>
      </c>
    </row>
  </sheetData>
  <mergeCells count="79">
    <mergeCell ref="I45:J45"/>
    <mergeCell ref="I46:J46"/>
    <mergeCell ref="I47:J47"/>
    <mergeCell ref="I48:J48"/>
    <mergeCell ref="I49:J49"/>
    <mergeCell ref="I44:J44"/>
    <mergeCell ref="H36:I36"/>
    <mergeCell ref="B37:F37"/>
    <mergeCell ref="H37:I37"/>
    <mergeCell ref="B38:C38"/>
    <mergeCell ref="E38:F38"/>
    <mergeCell ref="H38:I38"/>
    <mergeCell ref="H39:I39"/>
    <mergeCell ref="I40:J40"/>
    <mergeCell ref="I41:J41"/>
    <mergeCell ref="I42:J42"/>
    <mergeCell ref="I43:J43"/>
    <mergeCell ref="H35:I35"/>
    <mergeCell ref="I28:J28"/>
    <mergeCell ref="K28:L28"/>
    <mergeCell ref="Q28:R28"/>
    <mergeCell ref="I29:J29"/>
    <mergeCell ref="K29:L29"/>
    <mergeCell ref="Q29:R29"/>
    <mergeCell ref="H30:I30"/>
    <mergeCell ref="H31:I31"/>
    <mergeCell ref="H32:I32"/>
    <mergeCell ref="H33:I33"/>
    <mergeCell ref="H34:I34"/>
    <mergeCell ref="I26:J26"/>
    <mergeCell ref="K26:L26"/>
    <mergeCell ref="Q26:R26"/>
    <mergeCell ref="I27:J27"/>
    <mergeCell ref="K27:L27"/>
    <mergeCell ref="Q27:R27"/>
    <mergeCell ref="I24:J24"/>
    <mergeCell ref="K24:L24"/>
    <mergeCell ref="Q24:R24"/>
    <mergeCell ref="I25:J25"/>
    <mergeCell ref="K25:L25"/>
    <mergeCell ref="Q25:R25"/>
    <mergeCell ref="Q21:R21"/>
    <mergeCell ref="I22:J22"/>
    <mergeCell ref="K22:L22"/>
    <mergeCell ref="Q22:R22"/>
    <mergeCell ref="I23:J23"/>
    <mergeCell ref="K23:L23"/>
    <mergeCell ref="Q23:R23"/>
    <mergeCell ref="K17:L17"/>
    <mergeCell ref="B20:F20"/>
    <mergeCell ref="K20:L20"/>
    <mergeCell ref="B21:C21"/>
    <mergeCell ref="E21:F21"/>
    <mergeCell ref="I21:J21"/>
    <mergeCell ref="K21:L21"/>
    <mergeCell ref="I14:J14"/>
    <mergeCell ref="K14:L14"/>
    <mergeCell ref="I15:J15"/>
    <mergeCell ref="K15:L15"/>
    <mergeCell ref="I16:J16"/>
    <mergeCell ref="K16:L16"/>
    <mergeCell ref="I11:J11"/>
    <mergeCell ref="K11:L11"/>
    <mergeCell ref="I12:J12"/>
    <mergeCell ref="K12:L12"/>
    <mergeCell ref="I13:J13"/>
    <mergeCell ref="K13:L13"/>
    <mergeCell ref="I8:J8"/>
    <mergeCell ref="K8:L8"/>
    <mergeCell ref="I9:J9"/>
    <mergeCell ref="K9:L9"/>
    <mergeCell ref="I10:J10"/>
    <mergeCell ref="K10:L10"/>
    <mergeCell ref="I7:J7"/>
    <mergeCell ref="B3:F3"/>
    <mergeCell ref="B4:C4"/>
    <mergeCell ref="E4:F4"/>
    <mergeCell ref="J5:K5"/>
    <mergeCell ref="J6:K6"/>
  </mergeCells>
  <pageMargins left="0.2" right="0.75" top="0.52" bottom="1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Y97"/>
  <sheetViews>
    <sheetView zoomScaleNormal="100" workbookViewId="0">
      <selection activeCell="C10" sqref="C10"/>
    </sheetView>
  </sheetViews>
  <sheetFormatPr defaultColWidth="12.81640625" defaultRowHeight="12.5" x14ac:dyDescent="0.25"/>
  <cols>
    <col min="1" max="1" width="24.453125" style="162" customWidth="1"/>
    <col min="2" max="2" width="14.7265625" style="255" customWidth="1"/>
    <col min="3" max="3" width="1.7265625" style="155" customWidth="1"/>
    <col min="4" max="4" width="27.81640625" style="155" customWidth="1"/>
    <col min="5" max="5" width="14.453125" style="155" customWidth="1"/>
    <col min="6" max="6" width="2.7265625" style="155" customWidth="1"/>
    <col min="7" max="7" width="26.7265625" style="155" customWidth="1"/>
    <col min="8" max="8" width="13.81640625" style="155" customWidth="1"/>
    <col min="9" max="256" width="12.81640625" style="155"/>
    <col min="257" max="257" width="24.453125" style="155" customWidth="1"/>
    <col min="258" max="258" width="14.7265625" style="155" customWidth="1"/>
    <col min="259" max="259" width="1.7265625" style="155" customWidth="1"/>
    <col min="260" max="260" width="27.81640625" style="155" customWidth="1"/>
    <col min="261" max="261" width="14.453125" style="155" customWidth="1"/>
    <col min="262" max="262" width="2.7265625" style="155" customWidth="1"/>
    <col min="263" max="263" width="26.7265625" style="155" customWidth="1"/>
    <col min="264" max="264" width="13.81640625" style="155" customWidth="1"/>
    <col min="265" max="512" width="12.81640625" style="155"/>
    <col min="513" max="513" width="24.453125" style="155" customWidth="1"/>
    <col min="514" max="514" width="14.7265625" style="155" customWidth="1"/>
    <col min="515" max="515" width="1.7265625" style="155" customWidth="1"/>
    <col min="516" max="516" width="27.81640625" style="155" customWidth="1"/>
    <col min="517" max="517" width="14.453125" style="155" customWidth="1"/>
    <col min="518" max="518" width="2.7265625" style="155" customWidth="1"/>
    <col min="519" max="519" width="26.7265625" style="155" customWidth="1"/>
    <col min="520" max="520" width="13.81640625" style="155" customWidth="1"/>
    <col min="521" max="768" width="12.81640625" style="155"/>
    <col min="769" max="769" width="24.453125" style="155" customWidth="1"/>
    <col min="770" max="770" width="14.7265625" style="155" customWidth="1"/>
    <col min="771" max="771" width="1.7265625" style="155" customWidth="1"/>
    <col min="772" max="772" width="27.81640625" style="155" customWidth="1"/>
    <col min="773" max="773" width="14.453125" style="155" customWidth="1"/>
    <col min="774" max="774" width="2.7265625" style="155" customWidth="1"/>
    <col min="775" max="775" width="26.7265625" style="155" customWidth="1"/>
    <col min="776" max="776" width="13.81640625" style="155" customWidth="1"/>
    <col min="777" max="1024" width="12.81640625" style="155"/>
    <col min="1025" max="1025" width="24.453125" style="155" customWidth="1"/>
    <col min="1026" max="1026" width="14.7265625" style="155" customWidth="1"/>
    <col min="1027" max="1027" width="1.7265625" style="155" customWidth="1"/>
    <col min="1028" max="1028" width="27.81640625" style="155" customWidth="1"/>
    <col min="1029" max="1029" width="14.453125" style="155" customWidth="1"/>
    <col min="1030" max="1030" width="2.7265625" style="155" customWidth="1"/>
    <col min="1031" max="1031" width="26.7265625" style="155" customWidth="1"/>
    <col min="1032" max="1032" width="13.81640625" style="155" customWidth="1"/>
    <col min="1033" max="1280" width="12.81640625" style="155"/>
    <col min="1281" max="1281" width="24.453125" style="155" customWidth="1"/>
    <col min="1282" max="1282" width="14.7265625" style="155" customWidth="1"/>
    <col min="1283" max="1283" width="1.7265625" style="155" customWidth="1"/>
    <col min="1284" max="1284" width="27.81640625" style="155" customWidth="1"/>
    <col min="1285" max="1285" width="14.453125" style="155" customWidth="1"/>
    <col min="1286" max="1286" width="2.7265625" style="155" customWidth="1"/>
    <col min="1287" max="1287" width="26.7265625" style="155" customWidth="1"/>
    <col min="1288" max="1288" width="13.81640625" style="155" customWidth="1"/>
    <col min="1289" max="1536" width="12.81640625" style="155"/>
    <col min="1537" max="1537" width="24.453125" style="155" customWidth="1"/>
    <col min="1538" max="1538" width="14.7265625" style="155" customWidth="1"/>
    <col min="1539" max="1539" width="1.7265625" style="155" customWidth="1"/>
    <col min="1540" max="1540" width="27.81640625" style="155" customWidth="1"/>
    <col min="1541" max="1541" width="14.453125" style="155" customWidth="1"/>
    <col min="1542" max="1542" width="2.7265625" style="155" customWidth="1"/>
    <col min="1543" max="1543" width="26.7265625" style="155" customWidth="1"/>
    <col min="1544" max="1544" width="13.81640625" style="155" customWidth="1"/>
    <col min="1545" max="1792" width="12.81640625" style="155"/>
    <col min="1793" max="1793" width="24.453125" style="155" customWidth="1"/>
    <col min="1794" max="1794" width="14.7265625" style="155" customWidth="1"/>
    <col min="1795" max="1795" width="1.7265625" style="155" customWidth="1"/>
    <col min="1796" max="1796" width="27.81640625" style="155" customWidth="1"/>
    <col min="1797" max="1797" width="14.453125" style="155" customWidth="1"/>
    <col min="1798" max="1798" width="2.7265625" style="155" customWidth="1"/>
    <col min="1799" max="1799" width="26.7265625" style="155" customWidth="1"/>
    <col min="1800" max="1800" width="13.81640625" style="155" customWidth="1"/>
    <col min="1801" max="2048" width="12.81640625" style="155"/>
    <col min="2049" max="2049" width="24.453125" style="155" customWidth="1"/>
    <col min="2050" max="2050" width="14.7265625" style="155" customWidth="1"/>
    <col min="2051" max="2051" width="1.7265625" style="155" customWidth="1"/>
    <col min="2052" max="2052" width="27.81640625" style="155" customWidth="1"/>
    <col min="2053" max="2053" width="14.453125" style="155" customWidth="1"/>
    <col min="2054" max="2054" width="2.7265625" style="155" customWidth="1"/>
    <col min="2055" max="2055" width="26.7265625" style="155" customWidth="1"/>
    <col min="2056" max="2056" width="13.81640625" style="155" customWidth="1"/>
    <col min="2057" max="2304" width="12.81640625" style="155"/>
    <col min="2305" max="2305" width="24.453125" style="155" customWidth="1"/>
    <col min="2306" max="2306" width="14.7265625" style="155" customWidth="1"/>
    <col min="2307" max="2307" width="1.7265625" style="155" customWidth="1"/>
    <col min="2308" max="2308" width="27.81640625" style="155" customWidth="1"/>
    <col min="2309" max="2309" width="14.453125" style="155" customWidth="1"/>
    <col min="2310" max="2310" width="2.7265625" style="155" customWidth="1"/>
    <col min="2311" max="2311" width="26.7265625" style="155" customWidth="1"/>
    <col min="2312" max="2312" width="13.81640625" style="155" customWidth="1"/>
    <col min="2313" max="2560" width="12.81640625" style="155"/>
    <col min="2561" max="2561" width="24.453125" style="155" customWidth="1"/>
    <col min="2562" max="2562" width="14.7265625" style="155" customWidth="1"/>
    <col min="2563" max="2563" width="1.7265625" style="155" customWidth="1"/>
    <col min="2564" max="2564" width="27.81640625" style="155" customWidth="1"/>
    <col min="2565" max="2565" width="14.453125" style="155" customWidth="1"/>
    <col min="2566" max="2566" width="2.7265625" style="155" customWidth="1"/>
    <col min="2567" max="2567" width="26.7265625" style="155" customWidth="1"/>
    <col min="2568" max="2568" width="13.81640625" style="155" customWidth="1"/>
    <col min="2569" max="2816" width="12.81640625" style="155"/>
    <col min="2817" max="2817" width="24.453125" style="155" customWidth="1"/>
    <col min="2818" max="2818" width="14.7265625" style="155" customWidth="1"/>
    <col min="2819" max="2819" width="1.7265625" style="155" customWidth="1"/>
    <col min="2820" max="2820" width="27.81640625" style="155" customWidth="1"/>
    <col min="2821" max="2821" width="14.453125" style="155" customWidth="1"/>
    <col min="2822" max="2822" width="2.7265625" style="155" customWidth="1"/>
    <col min="2823" max="2823" width="26.7265625" style="155" customWidth="1"/>
    <col min="2824" max="2824" width="13.81640625" style="155" customWidth="1"/>
    <col min="2825" max="3072" width="12.81640625" style="155"/>
    <col min="3073" max="3073" width="24.453125" style="155" customWidth="1"/>
    <col min="3074" max="3074" width="14.7265625" style="155" customWidth="1"/>
    <col min="3075" max="3075" width="1.7265625" style="155" customWidth="1"/>
    <col min="3076" max="3076" width="27.81640625" style="155" customWidth="1"/>
    <col min="3077" max="3077" width="14.453125" style="155" customWidth="1"/>
    <col min="3078" max="3078" width="2.7265625" style="155" customWidth="1"/>
    <col min="3079" max="3079" width="26.7265625" style="155" customWidth="1"/>
    <col min="3080" max="3080" width="13.81640625" style="155" customWidth="1"/>
    <col min="3081" max="3328" width="12.81640625" style="155"/>
    <col min="3329" max="3329" width="24.453125" style="155" customWidth="1"/>
    <col min="3330" max="3330" width="14.7265625" style="155" customWidth="1"/>
    <col min="3331" max="3331" width="1.7265625" style="155" customWidth="1"/>
    <col min="3332" max="3332" width="27.81640625" style="155" customWidth="1"/>
    <col min="3333" max="3333" width="14.453125" style="155" customWidth="1"/>
    <col min="3334" max="3334" width="2.7265625" style="155" customWidth="1"/>
    <col min="3335" max="3335" width="26.7265625" style="155" customWidth="1"/>
    <col min="3336" max="3336" width="13.81640625" style="155" customWidth="1"/>
    <col min="3337" max="3584" width="12.81640625" style="155"/>
    <col min="3585" max="3585" width="24.453125" style="155" customWidth="1"/>
    <col min="3586" max="3586" width="14.7265625" style="155" customWidth="1"/>
    <col min="3587" max="3587" width="1.7265625" style="155" customWidth="1"/>
    <col min="3588" max="3588" width="27.81640625" style="155" customWidth="1"/>
    <col min="3589" max="3589" width="14.453125" style="155" customWidth="1"/>
    <col min="3590" max="3590" width="2.7265625" style="155" customWidth="1"/>
    <col min="3591" max="3591" width="26.7265625" style="155" customWidth="1"/>
    <col min="3592" max="3592" width="13.81640625" style="155" customWidth="1"/>
    <col min="3593" max="3840" width="12.81640625" style="155"/>
    <col min="3841" max="3841" width="24.453125" style="155" customWidth="1"/>
    <col min="3842" max="3842" width="14.7265625" style="155" customWidth="1"/>
    <col min="3843" max="3843" width="1.7265625" style="155" customWidth="1"/>
    <col min="3844" max="3844" width="27.81640625" style="155" customWidth="1"/>
    <col min="3845" max="3845" width="14.453125" style="155" customWidth="1"/>
    <col min="3846" max="3846" width="2.7265625" style="155" customWidth="1"/>
    <col min="3847" max="3847" width="26.7265625" style="155" customWidth="1"/>
    <col min="3848" max="3848" width="13.81640625" style="155" customWidth="1"/>
    <col min="3849" max="4096" width="12.81640625" style="155"/>
    <col min="4097" max="4097" width="24.453125" style="155" customWidth="1"/>
    <col min="4098" max="4098" width="14.7265625" style="155" customWidth="1"/>
    <col min="4099" max="4099" width="1.7265625" style="155" customWidth="1"/>
    <col min="4100" max="4100" width="27.81640625" style="155" customWidth="1"/>
    <col min="4101" max="4101" width="14.453125" style="155" customWidth="1"/>
    <col min="4102" max="4102" width="2.7265625" style="155" customWidth="1"/>
    <col min="4103" max="4103" width="26.7265625" style="155" customWidth="1"/>
    <col min="4104" max="4104" width="13.81640625" style="155" customWidth="1"/>
    <col min="4105" max="4352" width="12.81640625" style="155"/>
    <col min="4353" max="4353" width="24.453125" style="155" customWidth="1"/>
    <col min="4354" max="4354" width="14.7265625" style="155" customWidth="1"/>
    <col min="4355" max="4355" width="1.7265625" style="155" customWidth="1"/>
    <col min="4356" max="4356" width="27.81640625" style="155" customWidth="1"/>
    <col min="4357" max="4357" width="14.453125" style="155" customWidth="1"/>
    <col min="4358" max="4358" width="2.7265625" style="155" customWidth="1"/>
    <col min="4359" max="4359" width="26.7265625" style="155" customWidth="1"/>
    <col min="4360" max="4360" width="13.81640625" style="155" customWidth="1"/>
    <col min="4361" max="4608" width="12.81640625" style="155"/>
    <col min="4609" max="4609" width="24.453125" style="155" customWidth="1"/>
    <col min="4610" max="4610" width="14.7265625" style="155" customWidth="1"/>
    <col min="4611" max="4611" width="1.7265625" style="155" customWidth="1"/>
    <col min="4612" max="4612" width="27.81640625" style="155" customWidth="1"/>
    <col min="4613" max="4613" width="14.453125" style="155" customWidth="1"/>
    <col min="4614" max="4614" width="2.7265625" style="155" customWidth="1"/>
    <col min="4615" max="4615" width="26.7265625" style="155" customWidth="1"/>
    <col min="4616" max="4616" width="13.81640625" style="155" customWidth="1"/>
    <col min="4617" max="4864" width="12.81640625" style="155"/>
    <col min="4865" max="4865" width="24.453125" style="155" customWidth="1"/>
    <col min="4866" max="4866" width="14.7265625" style="155" customWidth="1"/>
    <col min="4867" max="4867" width="1.7265625" style="155" customWidth="1"/>
    <col min="4868" max="4868" width="27.81640625" style="155" customWidth="1"/>
    <col min="4869" max="4869" width="14.453125" style="155" customWidth="1"/>
    <col min="4870" max="4870" width="2.7265625" style="155" customWidth="1"/>
    <col min="4871" max="4871" width="26.7265625" style="155" customWidth="1"/>
    <col min="4872" max="4872" width="13.81640625" style="155" customWidth="1"/>
    <col min="4873" max="5120" width="12.81640625" style="155"/>
    <col min="5121" max="5121" width="24.453125" style="155" customWidth="1"/>
    <col min="5122" max="5122" width="14.7265625" style="155" customWidth="1"/>
    <col min="5123" max="5123" width="1.7265625" style="155" customWidth="1"/>
    <col min="5124" max="5124" width="27.81640625" style="155" customWidth="1"/>
    <col min="5125" max="5125" width="14.453125" style="155" customWidth="1"/>
    <col min="5126" max="5126" width="2.7265625" style="155" customWidth="1"/>
    <col min="5127" max="5127" width="26.7265625" style="155" customWidth="1"/>
    <col min="5128" max="5128" width="13.81640625" style="155" customWidth="1"/>
    <col min="5129" max="5376" width="12.81640625" style="155"/>
    <col min="5377" max="5377" width="24.453125" style="155" customWidth="1"/>
    <col min="5378" max="5378" width="14.7265625" style="155" customWidth="1"/>
    <col min="5379" max="5379" width="1.7265625" style="155" customWidth="1"/>
    <col min="5380" max="5380" width="27.81640625" style="155" customWidth="1"/>
    <col min="5381" max="5381" width="14.453125" style="155" customWidth="1"/>
    <col min="5382" max="5382" width="2.7265625" style="155" customWidth="1"/>
    <col min="5383" max="5383" width="26.7265625" style="155" customWidth="1"/>
    <col min="5384" max="5384" width="13.81640625" style="155" customWidth="1"/>
    <col min="5385" max="5632" width="12.81640625" style="155"/>
    <col min="5633" max="5633" width="24.453125" style="155" customWidth="1"/>
    <col min="5634" max="5634" width="14.7265625" style="155" customWidth="1"/>
    <col min="5635" max="5635" width="1.7265625" style="155" customWidth="1"/>
    <col min="5636" max="5636" width="27.81640625" style="155" customWidth="1"/>
    <col min="5637" max="5637" width="14.453125" style="155" customWidth="1"/>
    <col min="5638" max="5638" width="2.7265625" style="155" customWidth="1"/>
    <col min="5639" max="5639" width="26.7265625" style="155" customWidth="1"/>
    <col min="5640" max="5640" width="13.81640625" style="155" customWidth="1"/>
    <col min="5641" max="5888" width="12.81640625" style="155"/>
    <col min="5889" max="5889" width="24.453125" style="155" customWidth="1"/>
    <col min="5890" max="5890" width="14.7265625" style="155" customWidth="1"/>
    <col min="5891" max="5891" width="1.7265625" style="155" customWidth="1"/>
    <col min="5892" max="5892" width="27.81640625" style="155" customWidth="1"/>
    <col min="5893" max="5893" width="14.453125" style="155" customWidth="1"/>
    <col min="5894" max="5894" width="2.7265625" style="155" customWidth="1"/>
    <col min="5895" max="5895" width="26.7265625" style="155" customWidth="1"/>
    <col min="5896" max="5896" width="13.81640625" style="155" customWidth="1"/>
    <col min="5897" max="6144" width="12.81640625" style="155"/>
    <col min="6145" max="6145" width="24.453125" style="155" customWidth="1"/>
    <col min="6146" max="6146" width="14.7265625" style="155" customWidth="1"/>
    <col min="6147" max="6147" width="1.7265625" style="155" customWidth="1"/>
    <col min="6148" max="6148" width="27.81640625" style="155" customWidth="1"/>
    <col min="6149" max="6149" width="14.453125" style="155" customWidth="1"/>
    <col min="6150" max="6150" width="2.7265625" style="155" customWidth="1"/>
    <col min="6151" max="6151" width="26.7265625" style="155" customWidth="1"/>
    <col min="6152" max="6152" width="13.81640625" style="155" customWidth="1"/>
    <col min="6153" max="6400" width="12.81640625" style="155"/>
    <col min="6401" max="6401" width="24.453125" style="155" customWidth="1"/>
    <col min="6402" max="6402" width="14.7265625" style="155" customWidth="1"/>
    <col min="6403" max="6403" width="1.7265625" style="155" customWidth="1"/>
    <col min="6404" max="6404" width="27.81640625" style="155" customWidth="1"/>
    <col min="6405" max="6405" width="14.453125" style="155" customWidth="1"/>
    <col min="6406" max="6406" width="2.7265625" style="155" customWidth="1"/>
    <col min="6407" max="6407" width="26.7265625" style="155" customWidth="1"/>
    <col min="6408" max="6408" width="13.81640625" style="155" customWidth="1"/>
    <col min="6409" max="6656" width="12.81640625" style="155"/>
    <col min="6657" max="6657" width="24.453125" style="155" customWidth="1"/>
    <col min="6658" max="6658" width="14.7265625" style="155" customWidth="1"/>
    <col min="6659" max="6659" width="1.7265625" style="155" customWidth="1"/>
    <col min="6660" max="6660" width="27.81640625" style="155" customWidth="1"/>
    <col min="6661" max="6661" width="14.453125" style="155" customWidth="1"/>
    <col min="6662" max="6662" width="2.7265625" style="155" customWidth="1"/>
    <col min="6663" max="6663" width="26.7265625" style="155" customWidth="1"/>
    <col min="6664" max="6664" width="13.81640625" style="155" customWidth="1"/>
    <col min="6665" max="6912" width="12.81640625" style="155"/>
    <col min="6913" max="6913" width="24.453125" style="155" customWidth="1"/>
    <col min="6914" max="6914" width="14.7265625" style="155" customWidth="1"/>
    <col min="6915" max="6915" width="1.7265625" style="155" customWidth="1"/>
    <col min="6916" max="6916" width="27.81640625" style="155" customWidth="1"/>
    <col min="6917" max="6917" width="14.453125" style="155" customWidth="1"/>
    <col min="6918" max="6918" width="2.7265625" style="155" customWidth="1"/>
    <col min="6919" max="6919" width="26.7265625" style="155" customWidth="1"/>
    <col min="6920" max="6920" width="13.81640625" style="155" customWidth="1"/>
    <col min="6921" max="7168" width="12.81640625" style="155"/>
    <col min="7169" max="7169" width="24.453125" style="155" customWidth="1"/>
    <col min="7170" max="7170" width="14.7265625" style="155" customWidth="1"/>
    <col min="7171" max="7171" width="1.7265625" style="155" customWidth="1"/>
    <col min="7172" max="7172" width="27.81640625" style="155" customWidth="1"/>
    <col min="7173" max="7173" width="14.453125" style="155" customWidth="1"/>
    <col min="7174" max="7174" width="2.7265625" style="155" customWidth="1"/>
    <col min="7175" max="7175" width="26.7265625" style="155" customWidth="1"/>
    <col min="7176" max="7176" width="13.81640625" style="155" customWidth="1"/>
    <col min="7177" max="7424" width="12.81640625" style="155"/>
    <col min="7425" max="7425" width="24.453125" style="155" customWidth="1"/>
    <col min="7426" max="7426" width="14.7265625" style="155" customWidth="1"/>
    <col min="7427" max="7427" width="1.7265625" style="155" customWidth="1"/>
    <col min="7428" max="7428" width="27.81640625" style="155" customWidth="1"/>
    <col min="7429" max="7429" width="14.453125" style="155" customWidth="1"/>
    <col min="7430" max="7430" width="2.7265625" style="155" customWidth="1"/>
    <col min="7431" max="7431" width="26.7265625" style="155" customWidth="1"/>
    <col min="7432" max="7432" width="13.81640625" style="155" customWidth="1"/>
    <col min="7433" max="7680" width="12.81640625" style="155"/>
    <col min="7681" max="7681" width="24.453125" style="155" customWidth="1"/>
    <col min="7682" max="7682" width="14.7265625" style="155" customWidth="1"/>
    <col min="7683" max="7683" width="1.7265625" style="155" customWidth="1"/>
    <col min="7684" max="7684" width="27.81640625" style="155" customWidth="1"/>
    <col min="7685" max="7685" width="14.453125" style="155" customWidth="1"/>
    <col min="7686" max="7686" width="2.7265625" style="155" customWidth="1"/>
    <col min="7687" max="7687" width="26.7265625" style="155" customWidth="1"/>
    <col min="7688" max="7688" width="13.81640625" style="155" customWidth="1"/>
    <col min="7689" max="7936" width="12.81640625" style="155"/>
    <col min="7937" max="7937" width="24.453125" style="155" customWidth="1"/>
    <col min="7938" max="7938" width="14.7265625" style="155" customWidth="1"/>
    <col min="7939" max="7939" width="1.7265625" style="155" customWidth="1"/>
    <col min="7940" max="7940" width="27.81640625" style="155" customWidth="1"/>
    <col min="7941" max="7941" width="14.453125" style="155" customWidth="1"/>
    <col min="7942" max="7942" width="2.7265625" style="155" customWidth="1"/>
    <col min="7943" max="7943" width="26.7265625" style="155" customWidth="1"/>
    <col min="7944" max="7944" width="13.81640625" style="155" customWidth="1"/>
    <col min="7945" max="8192" width="12.81640625" style="155"/>
    <col min="8193" max="8193" width="24.453125" style="155" customWidth="1"/>
    <col min="8194" max="8194" width="14.7265625" style="155" customWidth="1"/>
    <col min="8195" max="8195" width="1.7265625" style="155" customWidth="1"/>
    <col min="8196" max="8196" width="27.81640625" style="155" customWidth="1"/>
    <col min="8197" max="8197" width="14.453125" style="155" customWidth="1"/>
    <col min="8198" max="8198" width="2.7265625" style="155" customWidth="1"/>
    <col min="8199" max="8199" width="26.7265625" style="155" customWidth="1"/>
    <col min="8200" max="8200" width="13.81640625" style="155" customWidth="1"/>
    <col min="8201" max="8448" width="12.81640625" style="155"/>
    <col min="8449" max="8449" width="24.453125" style="155" customWidth="1"/>
    <col min="8450" max="8450" width="14.7265625" style="155" customWidth="1"/>
    <col min="8451" max="8451" width="1.7265625" style="155" customWidth="1"/>
    <col min="8452" max="8452" width="27.81640625" style="155" customWidth="1"/>
    <col min="8453" max="8453" width="14.453125" style="155" customWidth="1"/>
    <col min="8454" max="8454" width="2.7265625" style="155" customWidth="1"/>
    <col min="8455" max="8455" width="26.7265625" style="155" customWidth="1"/>
    <col min="8456" max="8456" width="13.81640625" style="155" customWidth="1"/>
    <col min="8457" max="8704" width="12.81640625" style="155"/>
    <col min="8705" max="8705" width="24.453125" style="155" customWidth="1"/>
    <col min="8706" max="8706" width="14.7265625" style="155" customWidth="1"/>
    <col min="8707" max="8707" width="1.7265625" style="155" customWidth="1"/>
    <col min="8708" max="8708" width="27.81640625" style="155" customWidth="1"/>
    <col min="8709" max="8709" width="14.453125" style="155" customWidth="1"/>
    <col min="8710" max="8710" width="2.7265625" style="155" customWidth="1"/>
    <col min="8711" max="8711" width="26.7265625" style="155" customWidth="1"/>
    <col min="8712" max="8712" width="13.81640625" style="155" customWidth="1"/>
    <col min="8713" max="8960" width="12.81640625" style="155"/>
    <col min="8961" max="8961" width="24.453125" style="155" customWidth="1"/>
    <col min="8962" max="8962" width="14.7265625" style="155" customWidth="1"/>
    <col min="8963" max="8963" width="1.7265625" style="155" customWidth="1"/>
    <col min="8964" max="8964" width="27.81640625" style="155" customWidth="1"/>
    <col min="8965" max="8965" width="14.453125" style="155" customWidth="1"/>
    <col min="8966" max="8966" width="2.7265625" style="155" customWidth="1"/>
    <col min="8967" max="8967" width="26.7265625" style="155" customWidth="1"/>
    <col min="8968" max="8968" width="13.81640625" style="155" customWidth="1"/>
    <col min="8969" max="9216" width="12.81640625" style="155"/>
    <col min="9217" max="9217" width="24.453125" style="155" customWidth="1"/>
    <col min="9218" max="9218" width="14.7265625" style="155" customWidth="1"/>
    <col min="9219" max="9219" width="1.7265625" style="155" customWidth="1"/>
    <col min="9220" max="9220" width="27.81640625" style="155" customWidth="1"/>
    <col min="9221" max="9221" width="14.453125" style="155" customWidth="1"/>
    <col min="9222" max="9222" width="2.7265625" style="155" customWidth="1"/>
    <col min="9223" max="9223" width="26.7265625" style="155" customWidth="1"/>
    <col min="9224" max="9224" width="13.81640625" style="155" customWidth="1"/>
    <col min="9225" max="9472" width="12.81640625" style="155"/>
    <col min="9473" max="9473" width="24.453125" style="155" customWidth="1"/>
    <col min="9474" max="9474" width="14.7265625" style="155" customWidth="1"/>
    <col min="9475" max="9475" width="1.7265625" style="155" customWidth="1"/>
    <col min="9476" max="9476" width="27.81640625" style="155" customWidth="1"/>
    <col min="9477" max="9477" width="14.453125" style="155" customWidth="1"/>
    <col min="9478" max="9478" width="2.7265625" style="155" customWidth="1"/>
    <col min="9479" max="9479" width="26.7265625" style="155" customWidth="1"/>
    <col min="9480" max="9480" width="13.81640625" style="155" customWidth="1"/>
    <col min="9481" max="9728" width="12.81640625" style="155"/>
    <col min="9729" max="9729" width="24.453125" style="155" customWidth="1"/>
    <col min="9730" max="9730" width="14.7265625" style="155" customWidth="1"/>
    <col min="9731" max="9731" width="1.7265625" style="155" customWidth="1"/>
    <col min="9732" max="9732" width="27.81640625" style="155" customWidth="1"/>
    <col min="9733" max="9733" width="14.453125" style="155" customWidth="1"/>
    <col min="9734" max="9734" width="2.7265625" style="155" customWidth="1"/>
    <col min="9735" max="9735" width="26.7265625" style="155" customWidth="1"/>
    <col min="9736" max="9736" width="13.81640625" style="155" customWidth="1"/>
    <col min="9737" max="9984" width="12.81640625" style="155"/>
    <col min="9985" max="9985" width="24.453125" style="155" customWidth="1"/>
    <col min="9986" max="9986" width="14.7265625" style="155" customWidth="1"/>
    <col min="9987" max="9987" width="1.7265625" style="155" customWidth="1"/>
    <col min="9988" max="9988" width="27.81640625" style="155" customWidth="1"/>
    <col min="9989" max="9989" width="14.453125" style="155" customWidth="1"/>
    <col min="9990" max="9990" width="2.7265625" style="155" customWidth="1"/>
    <col min="9991" max="9991" width="26.7265625" style="155" customWidth="1"/>
    <col min="9992" max="9992" width="13.81640625" style="155" customWidth="1"/>
    <col min="9993" max="10240" width="12.81640625" style="155"/>
    <col min="10241" max="10241" width="24.453125" style="155" customWidth="1"/>
    <col min="10242" max="10242" width="14.7265625" style="155" customWidth="1"/>
    <col min="10243" max="10243" width="1.7265625" style="155" customWidth="1"/>
    <col min="10244" max="10244" width="27.81640625" style="155" customWidth="1"/>
    <col min="10245" max="10245" width="14.453125" style="155" customWidth="1"/>
    <col min="10246" max="10246" width="2.7265625" style="155" customWidth="1"/>
    <col min="10247" max="10247" width="26.7265625" style="155" customWidth="1"/>
    <col min="10248" max="10248" width="13.81640625" style="155" customWidth="1"/>
    <col min="10249" max="10496" width="12.81640625" style="155"/>
    <col min="10497" max="10497" width="24.453125" style="155" customWidth="1"/>
    <col min="10498" max="10498" width="14.7265625" style="155" customWidth="1"/>
    <col min="10499" max="10499" width="1.7265625" style="155" customWidth="1"/>
    <col min="10500" max="10500" width="27.81640625" style="155" customWidth="1"/>
    <col min="10501" max="10501" width="14.453125" style="155" customWidth="1"/>
    <col min="10502" max="10502" width="2.7265625" style="155" customWidth="1"/>
    <col min="10503" max="10503" width="26.7265625" style="155" customWidth="1"/>
    <col min="10504" max="10504" width="13.81640625" style="155" customWidth="1"/>
    <col min="10505" max="10752" width="12.81640625" style="155"/>
    <col min="10753" max="10753" width="24.453125" style="155" customWidth="1"/>
    <col min="10754" max="10754" width="14.7265625" style="155" customWidth="1"/>
    <col min="10755" max="10755" width="1.7265625" style="155" customWidth="1"/>
    <col min="10756" max="10756" width="27.81640625" style="155" customWidth="1"/>
    <col min="10757" max="10757" width="14.453125" style="155" customWidth="1"/>
    <col min="10758" max="10758" width="2.7265625" style="155" customWidth="1"/>
    <col min="10759" max="10759" width="26.7265625" style="155" customWidth="1"/>
    <col min="10760" max="10760" width="13.81640625" style="155" customWidth="1"/>
    <col min="10761" max="11008" width="12.81640625" style="155"/>
    <col min="11009" max="11009" width="24.453125" style="155" customWidth="1"/>
    <col min="11010" max="11010" width="14.7265625" style="155" customWidth="1"/>
    <col min="11011" max="11011" width="1.7265625" style="155" customWidth="1"/>
    <col min="11012" max="11012" width="27.81640625" style="155" customWidth="1"/>
    <col min="11013" max="11013" width="14.453125" style="155" customWidth="1"/>
    <col min="11014" max="11014" width="2.7265625" style="155" customWidth="1"/>
    <col min="11015" max="11015" width="26.7265625" style="155" customWidth="1"/>
    <col min="11016" max="11016" width="13.81640625" style="155" customWidth="1"/>
    <col min="11017" max="11264" width="12.81640625" style="155"/>
    <col min="11265" max="11265" width="24.453125" style="155" customWidth="1"/>
    <col min="11266" max="11266" width="14.7265625" style="155" customWidth="1"/>
    <col min="11267" max="11267" width="1.7265625" style="155" customWidth="1"/>
    <col min="11268" max="11268" width="27.81640625" style="155" customWidth="1"/>
    <col min="11269" max="11269" width="14.453125" style="155" customWidth="1"/>
    <col min="11270" max="11270" width="2.7265625" style="155" customWidth="1"/>
    <col min="11271" max="11271" width="26.7265625" style="155" customWidth="1"/>
    <col min="11272" max="11272" width="13.81640625" style="155" customWidth="1"/>
    <col min="11273" max="11520" width="12.81640625" style="155"/>
    <col min="11521" max="11521" width="24.453125" style="155" customWidth="1"/>
    <col min="11522" max="11522" width="14.7265625" style="155" customWidth="1"/>
    <col min="11523" max="11523" width="1.7265625" style="155" customWidth="1"/>
    <col min="11524" max="11524" width="27.81640625" style="155" customWidth="1"/>
    <col min="11525" max="11525" width="14.453125" style="155" customWidth="1"/>
    <col min="11526" max="11526" width="2.7265625" style="155" customWidth="1"/>
    <col min="11527" max="11527" width="26.7265625" style="155" customWidth="1"/>
    <col min="11528" max="11528" width="13.81640625" style="155" customWidth="1"/>
    <col min="11529" max="11776" width="12.81640625" style="155"/>
    <col min="11777" max="11777" width="24.453125" style="155" customWidth="1"/>
    <col min="11778" max="11778" width="14.7265625" style="155" customWidth="1"/>
    <col min="11779" max="11779" width="1.7265625" style="155" customWidth="1"/>
    <col min="11780" max="11780" width="27.81640625" style="155" customWidth="1"/>
    <col min="11781" max="11781" width="14.453125" style="155" customWidth="1"/>
    <col min="11782" max="11782" width="2.7265625" style="155" customWidth="1"/>
    <col min="11783" max="11783" width="26.7265625" style="155" customWidth="1"/>
    <col min="11784" max="11784" width="13.81640625" style="155" customWidth="1"/>
    <col min="11785" max="12032" width="12.81640625" style="155"/>
    <col min="12033" max="12033" width="24.453125" style="155" customWidth="1"/>
    <col min="12034" max="12034" width="14.7265625" style="155" customWidth="1"/>
    <col min="12035" max="12035" width="1.7265625" style="155" customWidth="1"/>
    <col min="12036" max="12036" width="27.81640625" style="155" customWidth="1"/>
    <col min="12037" max="12037" width="14.453125" style="155" customWidth="1"/>
    <col min="12038" max="12038" width="2.7265625" style="155" customWidth="1"/>
    <col min="12039" max="12039" width="26.7265625" style="155" customWidth="1"/>
    <col min="12040" max="12040" width="13.81640625" style="155" customWidth="1"/>
    <col min="12041" max="12288" width="12.81640625" style="155"/>
    <col min="12289" max="12289" width="24.453125" style="155" customWidth="1"/>
    <col min="12290" max="12290" width="14.7265625" style="155" customWidth="1"/>
    <col min="12291" max="12291" width="1.7265625" style="155" customWidth="1"/>
    <col min="12292" max="12292" width="27.81640625" style="155" customWidth="1"/>
    <col min="12293" max="12293" width="14.453125" style="155" customWidth="1"/>
    <col min="12294" max="12294" width="2.7265625" style="155" customWidth="1"/>
    <col min="12295" max="12295" width="26.7265625" style="155" customWidth="1"/>
    <col min="12296" max="12296" width="13.81640625" style="155" customWidth="1"/>
    <col min="12297" max="12544" width="12.81640625" style="155"/>
    <col min="12545" max="12545" width="24.453125" style="155" customWidth="1"/>
    <col min="12546" max="12546" width="14.7265625" style="155" customWidth="1"/>
    <col min="12547" max="12547" width="1.7265625" style="155" customWidth="1"/>
    <col min="12548" max="12548" width="27.81640625" style="155" customWidth="1"/>
    <col min="12549" max="12549" width="14.453125" style="155" customWidth="1"/>
    <col min="12550" max="12550" width="2.7265625" style="155" customWidth="1"/>
    <col min="12551" max="12551" width="26.7265625" style="155" customWidth="1"/>
    <col min="12552" max="12552" width="13.81640625" style="155" customWidth="1"/>
    <col min="12553" max="12800" width="12.81640625" style="155"/>
    <col min="12801" max="12801" width="24.453125" style="155" customWidth="1"/>
    <col min="12802" max="12802" width="14.7265625" style="155" customWidth="1"/>
    <col min="12803" max="12803" width="1.7265625" style="155" customWidth="1"/>
    <col min="12804" max="12804" width="27.81640625" style="155" customWidth="1"/>
    <col min="12805" max="12805" width="14.453125" style="155" customWidth="1"/>
    <col min="12806" max="12806" width="2.7265625" style="155" customWidth="1"/>
    <col min="12807" max="12807" width="26.7265625" style="155" customWidth="1"/>
    <col min="12808" max="12808" width="13.81640625" style="155" customWidth="1"/>
    <col min="12809" max="13056" width="12.81640625" style="155"/>
    <col min="13057" max="13057" width="24.453125" style="155" customWidth="1"/>
    <col min="13058" max="13058" width="14.7265625" style="155" customWidth="1"/>
    <col min="13059" max="13059" width="1.7265625" style="155" customWidth="1"/>
    <col min="13060" max="13060" width="27.81640625" style="155" customWidth="1"/>
    <col min="13061" max="13061" width="14.453125" style="155" customWidth="1"/>
    <col min="13062" max="13062" width="2.7265625" style="155" customWidth="1"/>
    <col min="13063" max="13063" width="26.7265625" style="155" customWidth="1"/>
    <col min="13064" max="13064" width="13.81640625" style="155" customWidth="1"/>
    <col min="13065" max="13312" width="12.81640625" style="155"/>
    <col min="13313" max="13313" width="24.453125" style="155" customWidth="1"/>
    <col min="13314" max="13314" width="14.7265625" style="155" customWidth="1"/>
    <col min="13315" max="13315" width="1.7265625" style="155" customWidth="1"/>
    <col min="13316" max="13316" width="27.81640625" style="155" customWidth="1"/>
    <col min="13317" max="13317" width="14.453125" style="155" customWidth="1"/>
    <col min="13318" max="13318" width="2.7265625" style="155" customWidth="1"/>
    <col min="13319" max="13319" width="26.7265625" style="155" customWidth="1"/>
    <col min="13320" max="13320" width="13.81640625" style="155" customWidth="1"/>
    <col min="13321" max="13568" width="12.81640625" style="155"/>
    <col min="13569" max="13569" width="24.453125" style="155" customWidth="1"/>
    <col min="13570" max="13570" width="14.7265625" style="155" customWidth="1"/>
    <col min="13571" max="13571" width="1.7265625" style="155" customWidth="1"/>
    <col min="13572" max="13572" width="27.81640625" style="155" customWidth="1"/>
    <col min="13573" max="13573" width="14.453125" style="155" customWidth="1"/>
    <col min="13574" max="13574" width="2.7265625" style="155" customWidth="1"/>
    <col min="13575" max="13575" width="26.7265625" style="155" customWidth="1"/>
    <col min="13576" max="13576" width="13.81640625" style="155" customWidth="1"/>
    <col min="13577" max="13824" width="12.81640625" style="155"/>
    <col min="13825" max="13825" width="24.453125" style="155" customWidth="1"/>
    <col min="13826" max="13826" width="14.7265625" style="155" customWidth="1"/>
    <col min="13827" max="13827" width="1.7265625" style="155" customWidth="1"/>
    <col min="13828" max="13828" width="27.81640625" style="155" customWidth="1"/>
    <col min="13829" max="13829" width="14.453125" style="155" customWidth="1"/>
    <col min="13830" max="13830" width="2.7265625" style="155" customWidth="1"/>
    <col min="13831" max="13831" width="26.7265625" style="155" customWidth="1"/>
    <col min="13832" max="13832" width="13.81640625" style="155" customWidth="1"/>
    <col min="13833" max="14080" width="12.81640625" style="155"/>
    <col min="14081" max="14081" width="24.453125" style="155" customWidth="1"/>
    <col min="14082" max="14082" width="14.7265625" style="155" customWidth="1"/>
    <col min="14083" max="14083" width="1.7265625" style="155" customWidth="1"/>
    <col min="14084" max="14084" width="27.81640625" style="155" customWidth="1"/>
    <col min="14085" max="14085" width="14.453125" style="155" customWidth="1"/>
    <col min="14086" max="14086" width="2.7265625" style="155" customWidth="1"/>
    <col min="14087" max="14087" width="26.7265625" style="155" customWidth="1"/>
    <col min="14088" max="14088" width="13.81640625" style="155" customWidth="1"/>
    <col min="14089" max="14336" width="12.81640625" style="155"/>
    <col min="14337" max="14337" width="24.453125" style="155" customWidth="1"/>
    <col min="14338" max="14338" width="14.7265625" style="155" customWidth="1"/>
    <col min="14339" max="14339" width="1.7265625" style="155" customWidth="1"/>
    <col min="14340" max="14340" width="27.81640625" style="155" customWidth="1"/>
    <col min="14341" max="14341" width="14.453125" style="155" customWidth="1"/>
    <col min="14342" max="14342" width="2.7265625" style="155" customWidth="1"/>
    <col min="14343" max="14343" width="26.7265625" style="155" customWidth="1"/>
    <col min="14344" max="14344" width="13.81640625" style="155" customWidth="1"/>
    <col min="14345" max="14592" width="12.81640625" style="155"/>
    <col min="14593" max="14593" width="24.453125" style="155" customWidth="1"/>
    <col min="14594" max="14594" width="14.7265625" style="155" customWidth="1"/>
    <col min="14595" max="14595" width="1.7265625" style="155" customWidth="1"/>
    <col min="14596" max="14596" width="27.81640625" style="155" customWidth="1"/>
    <col min="14597" max="14597" width="14.453125" style="155" customWidth="1"/>
    <col min="14598" max="14598" width="2.7265625" style="155" customWidth="1"/>
    <col min="14599" max="14599" width="26.7265625" style="155" customWidth="1"/>
    <col min="14600" max="14600" width="13.81640625" style="155" customWidth="1"/>
    <col min="14601" max="14848" width="12.81640625" style="155"/>
    <col min="14849" max="14849" width="24.453125" style="155" customWidth="1"/>
    <col min="14850" max="14850" width="14.7265625" style="155" customWidth="1"/>
    <col min="14851" max="14851" width="1.7265625" style="155" customWidth="1"/>
    <col min="14852" max="14852" width="27.81640625" style="155" customWidth="1"/>
    <col min="14853" max="14853" width="14.453125" style="155" customWidth="1"/>
    <col min="14854" max="14854" width="2.7265625" style="155" customWidth="1"/>
    <col min="14855" max="14855" width="26.7265625" style="155" customWidth="1"/>
    <col min="14856" max="14856" width="13.81640625" style="155" customWidth="1"/>
    <col min="14857" max="15104" width="12.81640625" style="155"/>
    <col min="15105" max="15105" width="24.453125" style="155" customWidth="1"/>
    <col min="15106" max="15106" width="14.7265625" style="155" customWidth="1"/>
    <col min="15107" max="15107" width="1.7265625" style="155" customWidth="1"/>
    <col min="15108" max="15108" width="27.81640625" style="155" customWidth="1"/>
    <col min="15109" max="15109" width="14.453125" style="155" customWidth="1"/>
    <col min="15110" max="15110" width="2.7265625" style="155" customWidth="1"/>
    <col min="15111" max="15111" width="26.7265625" style="155" customWidth="1"/>
    <col min="15112" max="15112" width="13.81640625" style="155" customWidth="1"/>
    <col min="15113" max="15360" width="12.81640625" style="155"/>
    <col min="15361" max="15361" width="24.453125" style="155" customWidth="1"/>
    <col min="15362" max="15362" width="14.7265625" style="155" customWidth="1"/>
    <col min="15363" max="15363" width="1.7265625" style="155" customWidth="1"/>
    <col min="15364" max="15364" width="27.81640625" style="155" customWidth="1"/>
    <col min="15365" max="15365" width="14.453125" style="155" customWidth="1"/>
    <col min="15366" max="15366" width="2.7265625" style="155" customWidth="1"/>
    <col min="15367" max="15367" width="26.7265625" style="155" customWidth="1"/>
    <col min="15368" max="15368" width="13.81640625" style="155" customWidth="1"/>
    <col min="15369" max="15616" width="12.81640625" style="155"/>
    <col min="15617" max="15617" width="24.453125" style="155" customWidth="1"/>
    <col min="15618" max="15618" width="14.7265625" style="155" customWidth="1"/>
    <col min="15619" max="15619" width="1.7265625" style="155" customWidth="1"/>
    <col min="15620" max="15620" width="27.81640625" style="155" customWidth="1"/>
    <col min="15621" max="15621" width="14.453125" style="155" customWidth="1"/>
    <col min="15622" max="15622" width="2.7265625" style="155" customWidth="1"/>
    <col min="15623" max="15623" width="26.7265625" style="155" customWidth="1"/>
    <col min="15624" max="15624" width="13.81640625" style="155" customWidth="1"/>
    <col min="15625" max="15872" width="12.81640625" style="155"/>
    <col min="15873" max="15873" width="24.453125" style="155" customWidth="1"/>
    <col min="15874" max="15874" width="14.7265625" style="155" customWidth="1"/>
    <col min="15875" max="15875" width="1.7265625" style="155" customWidth="1"/>
    <col min="15876" max="15876" width="27.81640625" style="155" customWidth="1"/>
    <col min="15877" max="15877" width="14.453125" style="155" customWidth="1"/>
    <col min="15878" max="15878" width="2.7265625" style="155" customWidth="1"/>
    <col min="15879" max="15879" width="26.7265625" style="155" customWidth="1"/>
    <col min="15880" max="15880" width="13.81640625" style="155" customWidth="1"/>
    <col min="15881" max="16128" width="12.81640625" style="155"/>
    <col min="16129" max="16129" width="24.453125" style="155" customWidth="1"/>
    <col min="16130" max="16130" width="14.7265625" style="155" customWidth="1"/>
    <col min="16131" max="16131" width="1.7265625" style="155" customWidth="1"/>
    <col min="16132" max="16132" width="27.81640625" style="155" customWidth="1"/>
    <col min="16133" max="16133" width="14.453125" style="155" customWidth="1"/>
    <col min="16134" max="16134" width="2.7265625" style="155" customWidth="1"/>
    <col min="16135" max="16135" width="26.7265625" style="155" customWidth="1"/>
    <col min="16136" max="16136" width="13.81640625" style="155" customWidth="1"/>
    <col min="16137" max="16384" width="12.81640625" style="155"/>
  </cols>
  <sheetData>
    <row r="2" spans="1:25" ht="14" x14ac:dyDescent="0.3">
      <c r="A2" s="5" t="s">
        <v>228</v>
      </c>
    </row>
    <row r="4" spans="1:25" ht="13" x14ac:dyDescent="0.3">
      <c r="A4" s="342" t="s">
        <v>39</v>
      </c>
      <c r="B4" s="342"/>
      <c r="C4" s="256"/>
      <c r="D4" s="342" t="s">
        <v>40</v>
      </c>
      <c r="E4" s="342"/>
      <c r="F4" s="257"/>
      <c r="G4" s="344" t="s">
        <v>41</v>
      </c>
      <c r="H4" s="344"/>
    </row>
    <row r="5" spans="1:25" ht="13" x14ac:dyDescent="0.3">
      <c r="A5" s="161"/>
      <c r="B5" s="161"/>
      <c r="C5" s="161"/>
      <c r="D5" s="161"/>
      <c r="E5" s="156"/>
      <c r="F5" s="156"/>
      <c r="G5" s="258"/>
      <c r="H5" s="156"/>
    </row>
    <row r="6" spans="1:25" x14ac:dyDescent="0.25">
      <c r="A6" s="158" t="s">
        <v>229</v>
      </c>
      <c r="B6" s="158" t="s">
        <v>230</v>
      </c>
      <c r="C6" s="256"/>
      <c r="D6" s="158" t="s">
        <v>229</v>
      </c>
      <c r="E6" s="158" t="s">
        <v>230</v>
      </c>
      <c r="F6" s="257"/>
      <c r="G6" s="158" t="s">
        <v>229</v>
      </c>
      <c r="H6" s="158" t="s">
        <v>230</v>
      </c>
    </row>
    <row r="7" spans="1:25" x14ac:dyDescent="0.25">
      <c r="A7" s="162" t="s">
        <v>173</v>
      </c>
      <c r="B7" s="255">
        <v>20381102</v>
      </c>
      <c r="C7" s="259"/>
      <c r="D7" s="260" t="s">
        <v>176</v>
      </c>
      <c r="E7" s="261">
        <v>1401702</v>
      </c>
      <c r="F7" s="259"/>
      <c r="G7" s="260" t="s">
        <v>176</v>
      </c>
      <c r="H7" s="261">
        <v>408710</v>
      </c>
      <c r="I7" s="259"/>
      <c r="J7" s="262"/>
      <c r="K7" s="259"/>
      <c r="L7" s="262"/>
      <c r="M7" s="259"/>
      <c r="N7" s="262"/>
      <c r="O7" s="259"/>
      <c r="P7" s="262"/>
      <c r="Q7" s="259"/>
      <c r="R7" s="262"/>
      <c r="S7" s="259"/>
      <c r="T7" s="262"/>
      <c r="U7" s="259"/>
      <c r="V7" s="262"/>
      <c r="W7" s="259"/>
      <c r="X7" s="262"/>
      <c r="Y7" s="259"/>
    </row>
    <row r="8" spans="1:25" ht="12.75" customHeight="1" x14ac:dyDescent="0.25">
      <c r="A8" s="248" t="s">
        <v>176</v>
      </c>
      <c r="B8" s="263">
        <v>7828494</v>
      </c>
      <c r="C8" s="264"/>
      <c r="D8" s="248" t="s">
        <v>198</v>
      </c>
      <c r="E8" s="263">
        <v>162736</v>
      </c>
      <c r="F8" s="265"/>
      <c r="G8" s="248" t="s">
        <v>198</v>
      </c>
      <c r="H8" s="263">
        <v>241443</v>
      </c>
      <c r="I8" s="259"/>
      <c r="J8" s="266"/>
      <c r="K8" s="259"/>
      <c r="L8" s="266"/>
      <c r="M8" s="259"/>
      <c r="N8" s="266"/>
      <c r="O8" s="259"/>
      <c r="P8" s="266"/>
      <c r="Q8" s="259"/>
      <c r="R8" s="266"/>
      <c r="S8" s="259"/>
      <c r="T8" s="266"/>
      <c r="U8" s="259"/>
      <c r="V8" s="266"/>
      <c r="W8" s="259"/>
      <c r="X8" s="266"/>
      <c r="Y8" s="259"/>
    </row>
    <row r="9" spans="1:25" ht="12.75" customHeight="1" x14ac:dyDescent="0.25">
      <c r="A9" s="167" t="s">
        <v>152</v>
      </c>
      <c r="B9" s="261">
        <v>1761837</v>
      </c>
      <c r="C9" s="264"/>
      <c r="D9" s="167" t="s">
        <v>201</v>
      </c>
      <c r="E9" s="261">
        <v>129421</v>
      </c>
      <c r="F9" s="265"/>
      <c r="G9" s="167" t="s">
        <v>197</v>
      </c>
      <c r="H9" s="261">
        <v>204813</v>
      </c>
      <c r="I9" s="259"/>
      <c r="J9" s="266"/>
      <c r="K9" s="259"/>
      <c r="L9" s="266"/>
      <c r="M9" s="259"/>
      <c r="N9" s="266"/>
      <c r="O9" s="259"/>
      <c r="P9" s="266"/>
      <c r="Q9" s="259"/>
      <c r="R9" s="266"/>
      <c r="S9" s="259"/>
      <c r="T9" s="266"/>
      <c r="U9" s="259"/>
      <c r="V9" s="266"/>
      <c r="W9" s="259"/>
      <c r="X9" s="266"/>
      <c r="Y9" s="259"/>
    </row>
    <row r="10" spans="1:25" ht="12.75" customHeight="1" x14ac:dyDescent="0.25">
      <c r="A10" s="248" t="s">
        <v>180</v>
      </c>
      <c r="B10" s="263">
        <v>1724519</v>
      </c>
      <c r="C10" s="264"/>
      <c r="D10" s="248" t="s">
        <v>203</v>
      </c>
      <c r="E10" s="263">
        <v>67926</v>
      </c>
      <c r="F10" s="265"/>
      <c r="G10" s="248" t="s">
        <v>205</v>
      </c>
      <c r="H10" s="263">
        <v>95081</v>
      </c>
      <c r="I10" s="259"/>
      <c r="J10" s="266"/>
      <c r="K10" s="259"/>
      <c r="L10" s="266"/>
      <c r="M10" s="259"/>
      <c r="N10" s="266"/>
      <c r="O10" s="259"/>
      <c r="P10" s="266"/>
      <c r="Q10" s="259"/>
      <c r="R10" s="266"/>
      <c r="S10" s="259"/>
      <c r="T10" s="266"/>
      <c r="U10" s="259"/>
      <c r="V10" s="266"/>
      <c r="W10" s="259"/>
      <c r="X10" s="266"/>
      <c r="Y10" s="259"/>
    </row>
    <row r="11" spans="1:25" ht="12.75" customHeight="1" x14ac:dyDescent="0.25">
      <c r="A11" s="167" t="s">
        <v>182</v>
      </c>
      <c r="B11" s="261">
        <v>1607272</v>
      </c>
      <c r="C11" s="264"/>
      <c r="D11" s="167" t="s">
        <v>197</v>
      </c>
      <c r="E11" s="261">
        <v>50440</v>
      </c>
      <c r="F11" s="265"/>
      <c r="G11" s="167" t="s">
        <v>182</v>
      </c>
      <c r="H11" s="261">
        <v>17912</v>
      </c>
      <c r="I11" s="259"/>
      <c r="J11" s="266"/>
      <c r="K11" s="259"/>
      <c r="L11" s="266"/>
      <c r="M11" s="259"/>
      <c r="N11" s="266"/>
      <c r="O11" s="259"/>
      <c r="P11" s="266"/>
      <c r="Q11" s="259"/>
      <c r="R11" s="266"/>
      <c r="S11" s="259"/>
      <c r="T11" s="266"/>
      <c r="U11" s="259"/>
      <c r="V11" s="266"/>
      <c r="W11" s="259"/>
      <c r="X11" s="266"/>
      <c r="Y11" s="259"/>
    </row>
    <row r="12" spans="1:25" ht="12.75" customHeight="1" x14ac:dyDescent="0.25">
      <c r="A12" s="248" t="s">
        <v>185</v>
      </c>
      <c r="B12" s="263">
        <v>1492778</v>
      </c>
      <c r="C12" s="264"/>
      <c r="D12" s="248" t="s">
        <v>205</v>
      </c>
      <c r="E12" s="263">
        <v>22069</v>
      </c>
      <c r="F12" s="265"/>
      <c r="G12" s="248" t="s">
        <v>201</v>
      </c>
      <c r="H12" s="263">
        <v>17876</v>
      </c>
      <c r="I12" s="259"/>
      <c r="J12" s="266"/>
      <c r="K12" s="259"/>
      <c r="L12" s="266"/>
      <c r="M12" s="259"/>
      <c r="N12" s="266"/>
      <c r="O12" s="259"/>
      <c r="P12" s="266"/>
      <c r="Q12" s="259"/>
      <c r="R12" s="266"/>
      <c r="S12" s="259"/>
      <c r="T12" s="266"/>
      <c r="U12" s="259"/>
      <c r="V12" s="266"/>
      <c r="W12" s="259"/>
      <c r="X12" s="266"/>
      <c r="Y12" s="259"/>
    </row>
    <row r="13" spans="1:25" ht="12.75" customHeight="1" x14ac:dyDescent="0.25">
      <c r="A13" s="167" t="s">
        <v>174</v>
      </c>
      <c r="B13" s="261">
        <v>1096243</v>
      </c>
      <c r="C13" s="264"/>
      <c r="D13" s="167" t="s">
        <v>200</v>
      </c>
      <c r="E13" s="261">
        <v>15025</v>
      </c>
      <c r="F13" s="265"/>
      <c r="G13" s="167" t="s">
        <v>208</v>
      </c>
      <c r="H13" s="261">
        <v>11392</v>
      </c>
      <c r="I13" s="259"/>
      <c r="J13" s="266"/>
      <c r="K13" s="259"/>
      <c r="L13" s="266"/>
      <c r="M13" s="259"/>
      <c r="N13" s="266"/>
      <c r="O13" s="259"/>
      <c r="P13" s="266"/>
      <c r="Q13" s="259"/>
      <c r="R13" s="266"/>
      <c r="S13" s="259"/>
      <c r="T13" s="266"/>
      <c r="U13" s="259"/>
      <c r="V13" s="266"/>
      <c r="W13" s="259"/>
      <c r="X13" s="266"/>
      <c r="Y13" s="259"/>
    </row>
    <row r="14" spans="1:25" ht="12.75" customHeight="1" x14ac:dyDescent="0.25">
      <c r="A14" s="248" t="s">
        <v>184</v>
      </c>
      <c r="B14" s="263">
        <v>1060781</v>
      </c>
      <c r="C14" s="264"/>
      <c r="D14" s="248" t="s">
        <v>188</v>
      </c>
      <c r="E14" s="263">
        <v>13915</v>
      </c>
      <c r="F14" s="265"/>
      <c r="G14" s="248" t="s">
        <v>181</v>
      </c>
      <c r="H14" s="263">
        <v>9134</v>
      </c>
      <c r="I14" s="259"/>
      <c r="J14" s="266"/>
      <c r="K14" s="259"/>
      <c r="L14" s="266"/>
      <c r="M14" s="259"/>
      <c r="N14" s="259"/>
      <c r="O14" s="259"/>
      <c r="P14" s="266"/>
      <c r="Q14" s="259"/>
      <c r="R14" s="266"/>
      <c r="S14" s="259"/>
      <c r="T14" s="266"/>
      <c r="U14" s="259"/>
      <c r="V14" s="266"/>
      <c r="W14" s="259"/>
      <c r="X14" s="266"/>
      <c r="Y14" s="259"/>
    </row>
    <row r="15" spans="1:25" ht="12.75" customHeight="1" x14ac:dyDescent="0.25">
      <c r="A15" s="167" t="s">
        <v>192</v>
      </c>
      <c r="B15" s="261">
        <v>1041784</v>
      </c>
      <c r="C15" s="264"/>
      <c r="D15" s="167" t="s">
        <v>177</v>
      </c>
      <c r="E15" s="261">
        <v>11512</v>
      </c>
      <c r="F15" s="265"/>
      <c r="G15" s="167" t="s">
        <v>212</v>
      </c>
      <c r="H15" s="261">
        <v>8746</v>
      </c>
      <c r="I15" s="259"/>
      <c r="J15" s="259"/>
      <c r="K15" s="259"/>
      <c r="L15" s="259"/>
      <c r="M15" s="259"/>
      <c r="N15" s="266"/>
      <c r="O15" s="259"/>
      <c r="P15" s="259"/>
      <c r="Q15" s="259"/>
      <c r="R15" s="266"/>
      <c r="S15" s="259"/>
      <c r="T15" s="266"/>
      <c r="U15" s="259"/>
      <c r="V15" s="266"/>
      <c r="W15" s="259"/>
      <c r="X15" s="266"/>
      <c r="Y15" s="259"/>
    </row>
    <row r="16" spans="1:25" ht="12.75" customHeight="1" x14ac:dyDescent="0.25">
      <c r="A16" s="248" t="s">
        <v>194</v>
      </c>
      <c r="B16" s="263">
        <v>784889</v>
      </c>
      <c r="C16" s="264"/>
      <c r="D16" s="248" t="s">
        <v>208</v>
      </c>
      <c r="E16" s="263">
        <v>11099</v>
      </c>
      <c r="F16" s="265"/>
      <c r="G16" s="248" t="s">
        <v>209</v>
      </c>
      <c r="H16" s="263">
        <v>8433</v>
      </c>
      <c r="I16" s="259"/>
      <c r="J16" s="266"/>
      <c r="K16" s="259"/>
      <c r="L16" s="266"/>
      <c r="M16" s="259"/>
      <c r="N16" s="266"/>
      <c r="O16" s="259"/>
      <c r="P16" s="266"/>
      <c r="Q16" s="259"/>
      <c r="R16" s="266"/>
      <c r="S16" s="259"/>
      <c r="T16" s="266"/>
      <c r="U16" s="259"/>
      <c r="V16" s="266"/>
      <c r="W16" s="259"/>
      <c r="X16" s="266"/>
      <c r="Y16" s="259"/>
    </row>
    <row r="17" spans="1:25" ht="12.75" customHeight="1" x14ac:dyDescent="0.25">
      <c r="A17" s="167" t="s">
        <v>231</v>
      </c>
      <c r="B17" s="261">
        <v>748886</v>
      </c>
      <c r="C17" s="264"/>
      <c r="D17" s="167" t="s">
        <v>207</v>
      </c>
      <c r="E17" s="261">
        <v>6401</v>
      </c>
      <c r="F17" s="265"/>
      <c r="G17" s="167" t="s">
        <v>220</v>
      </c>
      <c r="H17" s="261">
        <v>6007</v>
      </c>
      <c r="I17" s="259"/>
      <c r="J17" s="266"/>
      <c r="K17" s="259"/>
      <c r="L17" s="266"/>
      <c r="M17" s="259"/>
      <c r="N17" s="266"/>
      <c r="O17" s="259"/>
      <c r="P17" s="266"/>
      <c r="Q17" s="259"/>
      <c r="R17" s="266"/>
      <c r="S17" s="259"/>
      <c r="T17" s="266"/>
      <c r="U17" s="259"/>
      <c r="V17" s="266"/>
      <c r="W17" s="259"/>
      <c r="X17" s="266"/>
      <c r="Y17" s="259"/>
    </row>
    <row r="18" spans="1:25" ht="12.75" customHeight="1" x14ac:dyDescent="0.25">
      <c r="A18" s="248" t="s">
        <v>232</v>
      </c>
      <c r="B18" s="263">
        <v>719296</v>
      </c>
      <c r="C18" s="264"/>
      <c r="D18" s="248" t="s">
        <v>191</v>
      </c>
      <c r="E18" s="263">
        <v>6364</v>
      </c>
      <c r="F18" s="265"/>
      <c r="G18" s="248" t="s">
        <v>217</v>
      </c>
      <c r="H18" s="263">
        <v>4801</v>
      </c>
      <c r="I18" s="259"/>
      <c r="J18" s="266"/>
      <c r="K18" s="259"/>
      <c r="L18" s="266"/>
      <c r="M18" s="259"/>
      <c r="N18" s="266"/>
      <c r="O18" s="259"/>
      <c r="P18" s="266"/>
      <c r="Q18" s="259"/>
      <c r="R18" s="266"/>
      <c r="S18" s="259"/>
      <c r="T18" s="266"/>
      <c r="U18" s="259"/>
      <c r="V18" s="266"/>
      <c r="W18" s="259"/>
      <c r="X18" s="266"/>
      <c r="Y18" s="259"/>
    </row>
    <row r="19" spans="1:25" ht="12.75" customHeight="1" x14ac:dyDescent="0.25">
      <c r="A19" s="167" t="s">
        <v>233</v>
      </c>
      <c r="B19" s="261">
        <v>692207</v>
      </c>
      <c r="C19" s="264"/>
      <c r="D19" s="167" t="s">
        <v>209</v>
      </c>
      <c r="E19" s="261">
        <v>5487</v>
      </c>
      <c r="F19" s="265"/>
      <c r="G19" s="167" t="s">
        <v>179</v>
      </c>
      <c r="H19" s="261">
        <v>3430</v>
      </c>
      <c r="I19" s="259"/>
      <c r="J19" s="266"/>
      <c r="K19" s="259"/>
      <c r="L19" s="266"/>
      <c r="M19" s="259"/>
      <c r="N19" s="266"/>
      <c r="O19" s="259"/>
      <c r="P19" s="266"/>
      <c r="Q19" s="259"/>
      <c r="R19" s="266"/>
      <c r="S19" s="259"/>
      <c r="T19" s="266"/>
      <c r="U19" s="259"/>
      <c r="V19" s="266"/>
      <c r="W19" s="259"/>
      <c r="X19" s="266"/>
      <c r="Y19" s="259"/>
    </row>
    <row r="20" spans="1:25" ht="12.75" customHeight="1" x14ac:dyDescent="0.25">
      <c r="A20" s="248" t="s">
        <v>144</v>
      </c>
      <c r="B20" s="263">
        <v>685513</v>
      </c>
      <c r="C20" s="264"/>
      <c r="D20" s="248" t="s">
        <v>211</v>
      </c>
      <c r="E20" s="263">
        <v>3988</v>
      </c>
      <c r="F20" s="265"/>
      <c r="G20" s="248" t="s">
        <v>223</v>
      </c>
      <c r="H20" s="263">
        <v>1521</v>
      </c>
      <c r="I20" s="259"/>
      <c r="J20" s="266"/>
      <c r="K20" s="259"/>
      <c r="L20" s="266"/>
      <c r="M20" s="259"/>
      <c r="N20" s="266"/>
      <c r="O20" s="259"/>
      <c r="P20" s="266"/>
      <c r="Q20" s="259"/>
      <c r="R20" s="266"/>
      <c r="S20" s="259"/>
      <c r="T20" s="266"/>
      <c r="U20" s="259"/>
      <c r="V20" s="266"/>
      <c r="W20" s="259"/>
      <c r="X20" s="266"/>
      <c r="Y20" s="259"/>
    </row>
    <row r="21" spans="1:25" ht="12.75" customHeight="1" x14ac:dyDescent="0.25">
      <c r="A21" s="167" t="s">
        <v>234</v>
      </c>
      <c r="B21" s="261">
        <v>573103</v>
      </c>
      <c r="C21" s="264"/>
      <c r="D21" s="167" t="s">
        <v>212</v>
      </c>
      <c r="E21" s="261">
        <v>3276</v>
      </c>
      <c r="F21" s="265"/>
      <c r="G21" s="167" t="s">
        <v>224</v>
      </c>
      <c r="H21" s="261">
        <v>1394</v>
      </c>
      <c r="I21" s="259"/>
      <c r="J21" s="266"/>
      <c r="K21" s="259"/>
      <c r="L21" s="266"/>
      <c r="M21" s="259"/>
      <c r="N21" s="266"/>
      <c r="O21" s="259"/>
      <c r="P21" s="266"/>
      <c r="Q21" s="259"/>
      <c r="R21" s="266"/>
      <c r="S21" s="259"/>
      <c r="T21" s="266"/>
      <c r="U21" s="259"/>
      <c r="V21" s="266"/>
      <c r="W21" s="259"/>
      <c r="X21" s="266"/>
      <c r="Y21" s="259"/>
    </row>
    <row r="22" spans="1:25" ht="12.75" customHeight="1" x14ac:dyDescent="0.25">
      <c r="A22" s="248" t="s">
        <v>139</v>
      </c>
      <c r="B22" s="263">
        <v>569225</v>
      </c>
      <c r="C22" s="264"/>
      <c r="D22" s="248" t="s">
        <v>190</v>
      </c>
      <c r="E22" s="263">
        <v>2164</v>
      </c>
      <c r="F22" s="265"/>
      <c r="G22" s="248" t="s">
        <v>225</v>
      </c>
      <c r="H22" s="263">
        <v>1345</v>
      </c>
      <c r="I22" s="259"/>
      <c r="J22" s="266"/>
      <c r="K22" s="259"/>
      <c r="L22" s="266"/>
      <c r="M22" s="259"/>
      <c r="N22" s="266"/>
      <c r="O22" s="259"/>
      <c r="P22" s="266"/>
      <c r="Q22" s="259"/>
      <c r="R22" s="266"/>
      <c r="S22" s="259"/>
      <c r="T22" s="266"/>
      <c r="U22" s="259"/>
      <c r="V22" s="266"/>
      <c r="W22" s="259"/>
      <c r="X22" s="266"/>
      <c r="Y22" s="259"/>
    </row>
    <row r="23" spans="1:25" ht="12.75" customHeight="1" x14ac:dyDescent="0.25">
      <c r="A23" s="167" t="s">
        <v>135</v>
      </c>
      <c r="B23" s="261">
        <v>536150</v>
      </c>
      <c r="C23" s="264"/>
      <c r="D23" s="167" t="s">
        <v>216</v>
      </c>
      <c r="E23" s="261">
        <v>1373</v>
      </c>
      <c r="F23" s="265"/>
      <c r="G23" s="167" t="s">
        <v>218</v>
      </c>
      <c r="H23" s="261">
        <v>951</v>
      </c>
      <c r="I23" s="259"/>
      <c r="J23" s="266"/>
      <c r="K23" s="259"/>
      <c r="L23" s="266"/>
      <c r="M23" s="259"/>
      <c r="N23" s="266"/>
      <c r="O23" s="259"/>
      <c r="P23" s="266"/>
      <c r="Q23" s="259"/>
      <c r="R23" s="266"/>
      <c r="S23" s="259"/>
      <c r="T23" s="266"/>
      <c r="U23" s="259"/>
      <c r="V23" s="266"/>
      <c r="W23" s="259"/>
      <c r="X23" s="266"/>
      <c r="Y23" s="259"/>
    </row>
    <row r="24" spans="1:25" ht="12.75" customHeight="1" x14ac:dyDescent="0.25">
      <c r="A24" s="248" t="s">
        <v>235</v>
      </c>
      <c r="B24" s="263">
        <v>520882</v>
      </c>
      <c r="C24" s="264"/>
      <c r="D24" s="248" t="s">
        <v>181</v>
      </c>
      <c r="E24" s="263">
        <v>1292</v>
      </c>
      <c r="F24" s="265"/>
      <c r="G24" s="248" t="s">
        <v>190</v>
      </c>
      <c r="H24" s="263">
        <v>808</v>
      </c>
      <c r="I24" s="259"/>
      <c r="J24" s="266"/>
      <c r="K24" s="259"/>
      <c r="L24" s="266"/>
      <c r="M24" s="259"/>
      <c r="N24" s="266"/>
      <c r="O24" s="259"/>
      <c r="P24" s="266"/>
      <c r="Q24" s="259"/>
      <c r="R24" s="266"/>
      <c r="S24" s="259"/>
      <c r="T24" s="266"/>
      <c r="U24" s="259"/>
      <c r="V24" s="266"/>
      <c r="W24" s="259"/>
      <c r="X24" s="266"/>
      <c r="Y24" s="259"/>
    </row>
    <row r="25" spans="1:25" ht="12.75" customHeight="1" x14ac:dyDescent="0.25">
      <c r="A25" s="167" t="s">
        <v>201</v>
      </c>
      <c r="B25" s="261">
        <v>487364</v>
      </c>
      <c r="C25" s="264"/>
      <c r="D25" s="167" t="s">
        <v>199</v>
      </c>
      <c r="E25" s="261">
        <v>1273</v>
      </c>
      <c r="F25" s="265"/>
      <c r="G25" s="167" t="s">
        <v>236</v>
      </c>
      <c r="H25" s="261">
        <v>677</v>
      </c>
      <c r="I25" s="259"/>
      <c r="J25" s="266"/>
      <c r="K25" s="259"/>
      <c r="L25" s="266"/>
      <c r="M25" s="259"/>
      <c r="N25" s="266"/>
      <c r="O25" s="259"/>
      <c r="P25" s="266"/>
      <c r="Q25" s="259"/>
      <c r="R25" s="266"/>
      <c r="S25" s="259"/>
      <c r="T25" s="266"/>
      <c r="U25" s="259"/>
      <c r="V25" s="266"/>
      <c r="W25" s="259"/>
      <c r="X25" s="266"/>
      <c r="Y25" s="259"/>
    </row>
    <row r="26" spans="1:25" ht="12.75" customHeight="1" x14ac:dyDescent="0.25">
      <c r="A26" s="248" t="s">
        <v>134</v>
      </c>
      <c r="B26" s="263">
        <v>449681</v>
      </c>
      <c r="C26" s="264"/>
      <c r="D26" s="248" t="s">
        <v>220</v>
      </c>
      <c r="E26" s="267">
        <v>1070</v>
      </c>
      <c r="F26" s="265"/>
      <c r="G26" s="248" t="s">
        <v>226</v>
      </c>
      <c r="H26" s="267">
        <v>222</v>
      </c>
      <c r="I26" s="259"/>
      <c r="J26" s="266"/>
      <c r="K26" s="259"/>
      <c r="L26" s="266"/>
      <c r="M26" s="259"/>
      <c r="N26" s="266"/>
      <c r="O26" s="259"/>
      <c r="P26" s="266"/>
      <c r="Q26" s="259"/>
      <c r="R26" s="266"/>
      <c r="S26" s="259"/>
      <c r="T26" s="266"/>
      <c r="U26" s="259"/>
      <c r="V26" s="266"/>
      <c r="W26" s="259"/>
      <c r="X26" s="266"/>
      <c r="Y26" s="259"/>
    </row>
    <row r="27" spans="1:25" ht="12.75" customHeight="1" x14ac:dyDescent="0.25">
      <c r="A27" s="167" t="s">
        <v>138</v>
      </c>
      <c r="B27" s="261">
        <v>447585</v>
      </c>
      <c r="C27" s="264"/>
      <c r="D27" s="167" t="s">
        <v>237</v>
      </c>
      <c r="E27" s="268">
        <v>1030</v>
      </c>
      <c r="F27" s="265"/>
      <c r="G27" s="167" t="s">
        <v>238</v>
      </c>
      <c r="H27" s="268">
        <v>172</v>
      </c>
      <c r="I27" s="264"/>
      <c r="J27" s="266"/>
      <c r="K27" s="259"/>
      <c r="L27" s="266"/>
      <c r="M27" s="259"/>
      <c r="N27" s="266"/>
      <c r="O27" s="259"/>
      <c r="P27" s="266"/>
      <c r="Q27" s="259"/>
      <c r="R27" s="266"/>
      <c r="S27" s="259"/>
      <c r="T27" s="266"/>
      <c r="U27" s="259"/>
      <c r="V27" s="266"/>
      <c r="W27" s="259"/>
      <c r="X27" s="266"/>
      <c r="Y27" s="259"/>
    </row>
    <row r="28" spans="1:25" ht="12.75" customHeight="1" x14ac:dyDescent="0.25">
      <c r="A28" s="248" t="s">
        <v>239</v>
      </c>
      <c r="B28" s="263">
        <v>440071</v>
      </c>
      <c r="C28" s="264"/>
      <c r="D28" s="248" t="s">
        <v>202</v>
      </c>
      <c r="E28" s="267">
        <v>1005</v>
      </c>
      <c r="F28" s="265"/>
      <c r="G28" s="248" t="s">
        <v>219</v>
      </c>
      <c r="H28" s="267">
        <v>110</v>
      </c>
      <c r="I28" s="259"/>
      <c r="J28" s="266"/>
      <c r="K28" s="259"/>
      <c r="L28" s="266"/>
      <c r="M28" s="259"/>
      <c r="N28" s="266"/>
      <c r="O28" s="259"/>
      <c r="P28" s="266"/>
      <c r="Q28" s="259"/>
      <c r="R28" s="266"/>
      <c r="S28" s="259"/>
      <c r="T28" s="266"/>
      <c r="U28" s="259"/>
      <c r="V28" s="266"/>
      <c r="W28" s="259"/>
      <c r="X28" s="266"/>
      <c r="Y28" s="259"/>
    </row>
    <row r="29" spans="1:25" ht="12.75" customHeight="1" x14ac:dyDescent="0.25">
      <c r="A29" s="167" t="s">
        <v>240</v>
      </c>
      <c r="B29" s="261">
        <v>293757</v>
      </c>
      <c r="C29" s="264"/>
      <c r="D29" s="167" t="s">
        <v>206</v>
      </c>
      <c r="E29" s="268">
        <v>803</v>
      </c>
      <c r="F29" s="265"/>
      <c r="G29" s="167" t="s">
        <v>221</v>
      </c>
      <c r="H29" s="268">
        <v>92</v>
      </c>
      <c r="I29" s="259"/>
      <c r="J29" s="266"/>
      <c r="K29" s="259"/>
      <c r="L29" s="266"/>
      <c r="M29" s="259"/>
      <c r="N29" s="266"/>
      <c r="O29" s="259"/>
      <c r="P29" s="266"/>
      <c r="Q29" s="259"/>
      <c r="R29" s="266"/>
      <c r="S29" s="259"/>
      <c r="T29" s="266"/>
      <c r="U29" s="259"/>
      <c r="V29" s="266"/>
      <c r="W29" s="259"/>
      <c r="X29" s="266"/>
      <c r="Y29" s="259"/>
    </row>
    <row r="30" spans="1:25" ht="12.75" customHeight="1" x14ac:dyDescent="0.25">
      <c r="A30" s="269" t="s">
        <v>241</v>
      </c>
      <c r="B30" s="270">
        <v>282999</v>
      </c>
      <c r="C30" s="264"/>
      <c r="D30" s="248" t="s">
        <v>204</v>
      </c>
      <c r="E30" s="267">
        <v>799</v>
      </c>
      <c r="F30" s="265"/>
      <c r="G30" s="248" t="s">
        <v>206</v>
      </c>
      <c r="H30" s="267">
        <v>83</v>
      </c>
      <c r="I30" s="259"/>
      <c r="J30" s="266"/>
      <c r="K30" s="259"/>
      <c r="L30" s="266"/>
      <c r="M30" s="259"/>
      <c r="N30" s="266"/>
      <c r="O30" s="259"/>
      <c r="P30" s="266"/>
      <c r="Q30" s="259"/>
      <c r="R30" s="266"/>
      <c r="S30" s="259"/>
      <c r="T30" s="266"/>
      <c r="U30" s="259"/>
      <c r="V30" s="266"/>
      <c r="W30" s="259"/>
      <c r="X30" s="266"/>
      <c r="Y30" s="259"/>
    </row>
    <row r="31" spans="1:25" ht="12.75" customHeight="1" x14ac:dyDescent="0.25">
      <c r="A31" s="271" t="s">
        <v>209</v>
      </c>
      <c r="B31" s="272">
        <v>281182</v>
      </c>
      <c r="C31" s="264"/>
      <c r="D31" s="167" t="s">
        <v>242</v>
      </c>
      <c r="E31" s="268">
        <v>644</v>
      </c>
      <c r="F31" s="265"/>
      <c r="G31" s="167" t="s">
        <v>243</v>
      </c>
      <c r="H31" s="268">
        <v>57</v>
      </c>
      <c r="I31" s="259"/>
      <c r="J31" s="266"/>
      <c r="K31" s="259"/>
      <c r="L31" s="266"/>
      <c r="M31" s="259"/>
      <c r="N31" s="266"/>
      <c r="O31" s="259"/>
      <c r="P31" s="266"/>
      <c r="Q31" s="259"/>
      <c r="R31" s="266"/>
      <c r="S31" s="259"/>
      <c r="T31" s="266"/>
      <c r="U31" s="259"/>
      <c r="V31" s="266"/>
      <c r="W31" s="259"/>
      <c r="X31" s="266"/>
      <c r="Y31" s="259"/>
    </row>
    <row r="32" spans="1:25" ht="12.75" customHeight="1" x14ac:dyDescent="0.25">
      <c r="A32" s="269" t="s">
        <v>141</v>
      </c>
      <c r="B32" s="270">
        <v>277621</v>
      </c>
      <c r="C32" s="264"/>
      <c r="D32" s="248" t="s">
        <v>210</v>
      </c>
      <c r="E32" s="267">
        <v>569</v>
      </c>
      <c r="F32" s="265"/>
      <c r="G32" s="248" t="s">
        <v>219</v>
      </c>
      <c r="H32" s="267">
        <v>53</v>
      </c>
      <c r="I32" s="259"/>
      <c r="J32" s="266"/>
      <c r="K32" s="259"/>
      <c r="L32" s="266"/>
      <c r="M32" s="259"/>
      <c r="N32" s="266"/>
      <c r="O32" s="259"/>
      <c r="P32" s="266"/>
      <c r="Q32" s="259"/>
      <c r="R32" s="266"/>
      <c r="S32" s="259"/>
      <c r="T32" s="266"/>
      <c r="U32" s="259"/>
      <c r="V32" s="266"/>
      <c r="W32" s="259"/>
      <c r="X32" s="266"/>
      <c r="Y32" s="259"/>
    </row>
    <row r="33" spans="1:25" ht="12.75" customHeight="1" x14ac:dyDescent="0.25">
      <c r="A33" s="271" t="s">
        <v>153</v>
      </c>
      <c r="B33" s="272">
        <v>239688</v>
      </c>
      <c r="C33" s="264"/>
      <c r="D33" s="171" t="s">
        <v>241</v>
      </c>
      <c r="E33" s="273">
        <v>545</v>
      </c>
      <c r="F33" s="265"/>
      <c r="G33" s="171" t="s">
        <v>244</v>
      </c>
      <c r="H33" s="274">
        <v>986</v>
      </c>
      <c r="I33" s="259"/>
      <c r="J33" s="266"/>
      <c r="K33" s="259"/>
      <c r="L33" s="266"/>
      <c r="M33" s="259"/>
      <c r="N33" s="266"/>
      <c r="O33" s="259"/>
      <c r="P33" s="266"/>
      <c r="Q33" s="259"/>
      <c r="R33" s="266"/>
      <c r="S33" s="259"/>
      <c r="T33" s="266"/>
      <c r="U33" s="259"/>
      <c r="V33" s="266"/>
      <c r="W33" s="259"/>
      <c r="X33" s="266"/>
      <c r="Y33" s="259"/>
    </row>
    <row r="34" spans="1:25" ht="12.75" customHeight="1" x14ac:dyDescent="0.25">
      <c r="A34" s="269" t="s">
        <v>245</v>
      </c>
      <c r="B34" s="270">
        <v>210319</v>
      </c>
      <c r="C34" s="264"/>
      <c r="D34" s="269" t="s">
        <v>244</v>
      </c>
      <c r="E34" s="270">
        <v>9121</v>
      </c>
      <c r="F34" s="265"/>
      <c r="G34" s="275"/>
      <c r="H34" s="276"/>
      <c r="I34" s="259"/>
      <c r="J34" s="266"/>
      <c r="K34" s="259"/>
      <c r="L34" s="266"/>
      <c r="M34" s="259"/>
      <c r="N34" s="266"/>
      <c r="O34" s="259"/>
      <c r="P34" s="266"/>
      <c r="Q34" s="259"/>
      <c r="R34" s="266"/>
      <c r="S34" s="259"/>
      <c r="T34" s="266"/>
      <c r="U34" s="259"/>
      <c r="V34" s="266"/>
      <c r="W34" s="259"/>
      <c r="X34" s="266"/>
      <c r="Y34" s="259"/>
    </row>
    <row r="35" spans="1:25" ht="12.75" customHeight="1" x14ac:dyDescent="0.25">
      <c r="A35" s="167" t="s">
        <v>246</v>
      </c>
      <c r="B35" s="261">
        <v>204815</v>
      </c>
      <c r="C35" s="264"/>
      <c r="D35" s="277"/>
      <c r="E35" s="278"/>
      <c r="F35" s="265"/>
      <c r="G35" s="279" t="s">
        <v>247</v>
      </c>
      <c r="H35" s="280">
        <f>SUM(H7:H34)</f>
        <v>1046249</v>
      </c>
      <c r="I35" s="259"/>
      <c r="J35" s="266"/>
      <c r="K35" s="259"/>
      <c r="L35" s="266"/>
      <c r="M35" s="259"/>
      <c r="N35" s="266"/>
      <c r="O35" s="259"/>
      <c r="P35" s="266"/>
      <c r="Q35" s="259"/>
      <c r="R35" s="266"/>
      <c r="S35" s="259"/>
      <c r="T35" s="266"/>
      <c r="U35" s="259"/>
      <c r="V35" s="266"/>
      <c r="W35" s="259"/>
      <c r="X35" s="266"/>
      <c r="Y35" s="259"/>
    </row>
    <row r="36" spans="1:25" ht="12.75" customHeight="1" x14ac:dyDescent="0.25">
      <c r="A36" s="248" t="s">
        <v>248</v>
      </c>
      <c r="B36" s="263">
        <v>203975</v>
      </c>
      <c r="C36" s="264"/>
      <c r="D36" s="279" t="s">
        <v>249</v>
      </c>
      <c r="E36" s="280">
        <f>SUM(E7:E35)</f>
        <v>1933049</v>
      </c>
      <c r="F36" s="265"/>
      <c r="G36" s="281"/>
      <c r="H36" s="281"/>
      <c r="I36" s="259"/>
      <c r="J36" s="266"/>
      <c r="K36" s="259"/>
      <c r="L36" s="266"/>
      <c r="M36" s="259"/>
      <c r="N36" s="266"/>
      <c r="O36" s="259"/>
      <c r="P36" s="266"/>
      <c r="Q36" s="259"/>
      <c r="R36" s="266"/>
      <c r="S36" s="259"/>
      <c r="T36" s="266"/>
      <c r="U36" s="259"/>
      <c r="V36" s="266"/>
      <c r="W36" s="259"/>
      <c r="X36" s="266"/>
      <c r="Y36" s="259"/>
    </row>
    <row r="37" spans="1:25" ht="12.75" customHeight="1" x14ac:dyDescent="0.25">
      <c r="A37" s="167" t="s">
        <v>250</v>
      </c>
      <c r="B37" s="261">
        <v>197551</v>
      </c>
      <c r="C37" s="264"/>
      <c r="D37" s="171"/>
      <c r="E37" s="282"/>
      <c r="F37" s="265"/>
      <c r="G37" s="281"/>
      <c r="H37" s="281"/>
      <c r="I37" s="259"/>
      <c r="J37" s="266"/>
      <c r="K37" s="259"/>
      <c r="L37" s="266"/>
      <c r="M37" s="259"/>
      <c r="N37" s="266"/>
      <c r="O37" s="259"/>
      <c r="P37" s="266"/>
      <c r="Q37" s="259"/>
      <c r="R37" s="266"/>
      <c r="S37" s="259"/>
      <c r="T37" s="266"/>
      <c r="U37" s="259"/>
      <c r="V37" s="266"/>
      <c r="W37" s="259"/>
      <c r="X37" s="266"/>
      <c r="Y37" s="259"/>
    </row>
    <row r="38" spans="1:25" ht="12.75" customHeight="1" x14ac:dyDescent="0.25">
      <c r="A38" s="248" t="s">
        <v>149</v>
      </c>
      <c r="B38" s="263">
        <v>180609</v>
      </c>
      <c r="C38" s="264"/>
      <c r="D38" s="171"/>
      <c r="E38" s="282"/>
      <c r="F38" s="265"/>
      <c r="G38" s="281"/>
      <c r="H38" s="281"/>
      <c r="I38" s="259"/>
      <c r="J38" s="266"/>
      <c r="K38" s="259"/>
      <c r="L38" s="266"/>
      <c r="M38" s="259"/>
      <c r="N38" s="266"/>
      <c r="O38" s="259"/>
      <c r="P38" s="266"/>
      <c r="Q38" s="259"/>
      <c r="R38" s="266"/>
      <c r="S38" s="259"/>
      <c r="T38" s="266"/>
      <c r="U38" s="259"/>
      <c r="V38" s="266"/>
      <c r="W38" s="259"/>
      <c r="X38" s="266"/>
      <c r="Y38" s="259"/>
    </row>
    <row r="39" spans="1:25" ht="12.75" customHeight="1" x14ac:dyDescent="0.25">
      <c r="A39" s="167" t="s">
        <v>177</v>
      </c>
      <c r="B39" s="261">
        <v>177443</v>
      </c>
      <c r="C39" s="264"/>
      <c r="D39" s="171"/>
      <c r="E39" s="283"/>
      <c r="F39" s="265"/>
      <c r="G39" s="281"/>
      <c r="H39" s="281"/>
      <c r="I39" s="259"/>
      <c r="J39" s="266"/>
      <c r="K39" s="259"/>
      <c r="L39" s="266"/>
      <c r="M39" s="259"/>
      <c r="N39" s="266"/>
      <c r="O39" s="259"/>
      <c r="P39" s="266"/>
      <c r="Q39" s="259"/>
      <c r="R39" s="266"/>
      <c r="S39" s="259"/>
      <c r="T39" s="266"/>
      <c r="U39" s="259"/>
      <c r="V39" s="266"/>
      <c r="W39" s="259"/>
      <c r="X39" s="266"/>
      <c r="Y39" s="259"/>
    </row>
    <row r="40" spans="1:25" ht="12.75" customHeight="1" x14ac:dyDescent="0.25">
      <c r="A40" s="269" t="s">
        <v>146</v>
      </c>
      <c r="B40" s="270">
        <v>177278</v>
      </c>
      <c r="C40" s="264"/>
      <c r="D40" s="284"/>
      <c r="E40" s="285"/>
      <c r="F40" s="265"/>
      <c r="G40" s="281"/>
      <c r="H40" s="281"/>
      <c r="I40" s="259"/>
      <c r="J40" s="266"/>
      <c r="K40" s="259"/>
      <c r="L40" s="266"/>
      <c r="M40" s="259"/>
      <c r="N40" s="266"/>
      <c r="O40" s="259"/>
      <c r="P40" s="266"/>
      <c r="Q40" s="259"/>
      <c r="R40" s="266"/>
      <c r="S40" s="259"/>
      <c r="T40" s="266"/>
      <c r="U40" s="259"/>
      <c r="V40" s="266"/>
      <c r="W40" s="259"/>
      <c r="X40" s="266"/>
      <c r="Y40" s="259"/>
    </row>
    <row r="41" spans="1:25" ht="12.75" customHeight="1" x14ac:dyDescent="0.25">
      <c r="A41" s="171" t="s">
        <v>244</v>
      </c>
      <c r="B41" s="274">
        <v>4311556</v>
      </c>
      <c r="C41" s="264"/>
      <c r="D41" s="277"/>
      <c r="E41" s="278"/>
      <c r="F41" s="265"/>
      <c r="G41" s="281"/>
      <c r="H41" s="281"/>
      <c r="I41" s="259"/>
      <c r="J41" s="266"/>
      <c r="K41" s="259"/>
      <c r="L41" s="266"/>
      <c r="M41" s="259"/>
      <c r="N41" s="266"/>
      <c r="O41" s="259"/>
      <c r="P41" s="266"/>
      <c r="Q41" s="259"/>
      <c r="R41" s="266"/>
      <c r="S41" s="259"/>
      <c r="T41" s="266"/>
      <c r="U41" s="259"/>
      <c r="V41" s="266"/>
      <c r="W41" s="259"/>
      <c r="X41" s="266"/>
      <c r="Y41" s="259"/>
    </row>
    <row r="42" spans="1:25" ht="12.75" customHeight="1" x14ac:dyDescent="0.25">
      <c r="C42" s="264"/>
      <c r="D42" s="277"/>
      <c r="E42" s="278"/>
      <c r="F42" s="264"/>
      <c r="G42" s="286"/>
      <c r="H42" s="286"/>
      <c r="I42" s="259"/>
      <c r="J42" s="266"/>
      <c r="K42" s="259"/>
      <c r="L42" s="266"/>
      <c r="M42" s="259"/>
      <c r="N42" s="266"/>
      <c r="O42" s="259"/>
      <c r="P42" s="266"/>
      <c r="Q42" s="259"/>
      <c r="R42" s="266"/>
      <c r="S42" s="259"/>
      <c r="T42" s="266"/>
      <c r="U42" s="259"/>
      <c r="V42" s="266"/>
      <c r="W42" s="259"/>
      <c r="X42" s="266"/>
      <c r="Y42" s="259"/>
    </row>
    <row r="43" spans="1:25" ht="12.75" customHeight="1" x14ac:dyDescent="0.25">
      <c r="A43" s="279" t="s">
        <v>251</v>
      </c>
      <c r="B43" s="280">
        <v>52688455</v>
      </c>
      <c r="C43" s="264"/>
      <c r="D43" s="287"/>
      <c r="E43" s="287"/>
      <c r="F43" s="264"/>
      <c r="G43" s="286"/>
      <c r="H43" s="286"/>
      <c r="I43" s="259"/>
      <c r="J43" s="266"/>
      <c r="K43" s="259"/>
      <c r="L43" s="266"/>
      <c r="M43" s="259"/>
      <c r="N43" s="266"/>
      <c r="O43" s="259"/>
      <c r="P43" s="266"/>
      <c r="Q43" s="259"/>
      <c r="R43" s="266"/>
      <c r="S43" s="259"/>
      <c r="T43" s="266"/>
      <c r="U43" s="259"/>
      <c r="V43" s="266"/>
      <c r="W43" s="259"/>
      <c r="X43" s="259"/>
      <c r="Y43" s="259"/>
    </row>
    <row r="44" spans="1:25" ht="12.75" customHeight="1" x14ac:dyDescent="0.3">
      <c r="A44" s="288" t="s">
        <v>53</v>
      </c>
      <c r="B44" s="289"/>
      <c r="C44" s="290"/>
      <c r="D44" s="287"/>
      <c r="E44" s="287"/>
      <c r="F44" s="290"/>
      <c r="G44" s="291"/>
      <c r="H44" s="291"/>
      <c r="I44" s="259"/>
      <c r="J44" s="266"/>
      <c r="K44" s="259"/>
      <c r="L44" s="266"/>
      <c r="M44" s="259"/>
      <c r="N44" s="266"/>
      <c r="O44" s="259"/>
      <c r="P44" s="266"/>
      <c r="Q44" s="259"/>
      <c r="R44" s="266"/>
      <c r="S44" s="259"/>
      <c r="T44" s="266"/>
      <c r="U44" s="259"/>
      <c r="V44" s="266"/>
      <c r="W44" s="259"/>
      <c r="X44" s="266"/>
      <c r="Y44" s="259"/>
    </row>
    <row r="45" spans="1:25" ht="12.75" customHeight="1" x14ac:dyDescent="0.25">
      <c r="C45" s="264"/>
      <c r="D45" s="291"/>
      <c r="E45" s="291"/>
      <c r="F45" s="264"/>
      <c r="G45" s="286"/>
      <c r="H45" s="286"/>
      <c r="I45" s="259"/>
      <c r="J45" s="266"/>
      <c r="K45" s="259"/>
      <c r="L45" s="266"/>
      <c r="M45" s="259"/>
      <c r="N45" s="266"/>
      <c r="O45" s="259"/>
      <c r="P45" s="266"/>
      <c r="Q45" s="259"/>
      <c r="R45" s="266"/>
      <c r="S45" s="259"/>
      <c r="T45" s="266"/>
      <c r="U45" s="259"/>
      <c r="V45" s="266"/>
      <c r="W45" s="259"/>
      <c r="X45" s="266"/>
      <c r="Y45" s="259"/>
    </row>
    <row r="46" spans="1:25" ht="12.75" customHeight="1" x14ac:dyDescent="0.25">
      <c r="C46" s="259"/>
      <c r="D46" s="286"/>
      <c r="E46" s="286"/>
      <c r="F46" s="259"/>
      <c r="G46" s="266"/>
      <c r="H46" s="266"/>
      <c r="I46" s="259"/>
      <c r="J46" s="266"/>
      <c r="K46" s="259"/>
      <c r="L46" s="266"/>
      <c r="M46" s="259"/>
      <c r="N46" s="266"/>
      <c r="O46" s="259"/>
      <c r="P46" s="266"/>
      <c r="Q46" s="259"/>
      <c r="R46" s="266"/>
      <c r="S46" s="259"/>
      <c r="T46" s="266"/>
      <c r="U46" s="259"/>
      <c r="V46" s="266"/>
      <c r="W46" s="259"/>
      <c r="X46" s="266"/>
      <c r="Y46" s="259"/>
    </row>
    <row r="47" spans="1:25" ht="12.75" customHeight="1" x14ac:dyDescent="0.25">
      <c r="C47" s="259"/>
      <c r="D47" s="266"/>
      <c r="E47" s="266"/>
      <c r="F47" s="259"/>
      <c r="G47" s="259"/>
      <c r="H47" s="266"/>
      <c r="I47" s="259"/>
      <c r="J47" s="266"/>
      <c r="K47" s="292"/>
      <c r="L47" s="261"/>
      <c r="M47" s="259"/>
      <c r="N47" s="266"/>
      <c r="O47" s="259"/>
      <c r="P47" s="266"/>
      <c r="Q47" s="259"/>
      <c r="R47" s="266"/>
      <c r="S47" s="259"/>
      <c r="T47" s="266"/>
      <c r="U47" s="259"/>
      <c r="V47" s="259"/>
      <c r="W47" s="259"/>
      <c r="X47" s="259"/>
      <c r="Y47" s="259"/>
    </row>
    <row r="48" spans="1:25" ht="12.75" customHeight="1" x14ac:dyDescent="0.25">
      <c r="C48" s="259"/>
      <c r="D48" s="259"/>
      <c r="E48" s="259"/>
      <c r="F48" s="259"/>
      <c r="G48" s="266"/>
      <c r="H48" s="266"/>
      <c r="I48" s="259"/>
      <c r="J48" s="266"/>
      <c r="K48" s="292"/>
      <c r="L48" s="261"/>
      <c r="M48" s="259"/>
      <c r="N48" s="266"/>
      <c r="O48" s="259"/>
      <c r="P48" s="266"/>
      <c r="Q48" s="259"/>
      <c r="R48" s="266"/>
      <c r="S48" s="259"/>
      <c r="T48" s="266"/>
      <c r="U48" s="259"/>
      <c r="V48" s="266"/>
      <c r="W48" s="259"/>
      <c r="X48" s="266"/>
      <c r="Y48" s="259"/>
    </row>
    <row r="49" spans="3:25" ht="12.75" customHeight="1" x14ac:dyDescent="0.25">
      <c r="C49" s="259"/>
      <c r="D49" s="266"/>
      <c r="E49" s="266"/>
      <c r="F49" s="259"/>
      <c r="G49" s="266"/>
      <c r="H49" s="266"/>
      <c r="I49" s="259"/>
      <c r="J49" s="266"/>
      <c r="K49" s="292"/>
      <c r="L49" s="261"/>
      <c r="M49" s="259"/>
      <c r="N49" s="266"/>
      <c r="O49" s="259"/>
      <c r="P49" s="266"/>
      <c r="Q49" s="259"/>
      <c r="R49" s="266"/>
      <c r="S49" s="259"/>
      <c r="T49" s="266"/>
      <c r="U49" s="259"/>
      <c r="V49" s="266"/>
      <c r="W49" s="259"/>
      <c r="X49" s="266"/>
      <c r="Y49" s="259"/>
    </row>
    <row r="50" spans="3:25" ht="12.75" customHeight="1" x14ac:dyDescent="0.25">
      <c r="C50" s="259"/>
      <c r="D50" s="266"/>
      <c r="E50" s="266"/>
      <c r="F50" s="259"/>
      <c r="G50" s="266"/>
      <c r="H50" s="266"/>
      <c r="I50" s="259"/>
      <c r="J50" s="266"/>
      <c r="K50" s="292"/>
      <c r="L50" s="261"/>
      <c r="M50" s="259"/>
      <c r="N50" s="266"/>
      <c r="O50" s="259"/>
      <c r="P50" s="266"/>
      <c r="Q50" s="259"/>
      <c r="R50" s="266"/>
      <c r="S50" s="259"/>
      <c r="T50" s="266"/>
      <c r="U50" s="259"/>
      <c r="V50" s="266"/>
      <c r="W50" s="259"/>
      <c r="X50" s="266"/>
      <c r="Y50" s="259"/>
    </row>
    <row r="51" spans="3:25" ht="12.75" customHeight="1" x14ac:dyDescent="0.25">
      <c r="C51" s="259"/>
      <c r="D51" s="259"/>
      <c r="E51" s="259"/>
      <c r="F51" s="259"/>
      <c r="G51" s="266"/>
      <c r="H51" s="266"/>
      <c r="I51" s="259"/>
      <c r="J51" s="266"/>
      <c r="K51" s="292"/>
      <c r="L51" s="261"/>
      <c r="M51" s="259"/>
      <c r="N51" s="266"/>
      <c r="O51" s="259"/>
      <c r="P51" s="266"/>
      <c r="Q51" s="259"/>
      <c r="R51" s="266"/>
      <c r="S51" s="259"/>
      <c r="T51" s="266"/>
      <c r="U51" s="259"/>
      <c r="V51" s="259"/>
      <c r="W51" s="259"/>
      <c r="X51" s="259"/>
      <c r="Y51" s="259"/>
    </row>
    <row r="52" spans="3:25" ht="12.75" customHeight="1" x14ac:dyDescent="0.25">
      <c r="C52" s="259"/>
      <c r="D52" s="266"/>
      <c r="E52" s="266"/>
      <c r="F52" s="259"/>
      <c r="G52" s="266"/>
      <c r="H52" s="266"/>
      <c r="I52" s="259"/>
      <c r="J52" s="266"/>
      <c r="K52" s="292"/>
      <c r="L52" s="261"/>
      <c r="M52" s="259"/>
      <c r="N52" s="266"/>
      <c r="O52" s="259"/>
      <c r="P52" s="266"/>
      <c r="Q52" s="259"/>
      <c r="R52" s="266"/>
      <c r="S52" s="259"/>
      <c r="T52" s="266"/>
      <c r="U52" s="259"/>
      <c r="V52" s="266"/>
      <c r="W52" s="259"/>
      <c r="X52" s="266"/>
      <c r="Y52" s="259"/>
    </row>
    <row r="53" spans="3:25" ht="12.75" customHeight="1" x14ac:dyDescent="0.25">
      <c r="C53" s="259"/>
      <c r="D53" s="266"/>
      <c r="E53" s="266"/>
      <c r="F53" s="259"/>
      <c r="G53" s="266"/>
      <c r="H53" s="266"/>
      <c r="I53" s="259"/>
      <c r="J53" s="266"/>
      <c r="K53" s="292"/>
      <c r="L53" s="261"/>
      <c r="M53" s="259"/>
      <c r="N53" s="266"/>
      <c r="O53" s="259"/>
      <c r="P53" s="266"/>
      <c r="Q53" s="259"/>
      <c r="R53" s="266"/>
      <c r="S53" s="259"/>
      <c r="T53" s="266"/>
      <c r="U53" s="259"/>
      <c r="V53" s="266"/>
      <c r="W53" s="259"/>
      <c r="X53" s="266"/>
      <c r="Y53" s="259"/>
    </row>
    <row r="54" spans="3:25" ht="12.75" customHeight="1" x14ac:dyDescent="0.25">
      <c r="C54" s="259"/>
      <c r="D54" s="266"/>
      <c r="E54" s="266"/>
      <c r="F54" s="259"/>
      <c r="G54" s="266"/>
      <c r="H54" s="266"/>
      <c r="I54" s="259"/>
      <c r="J54" s="266"/>
      <c r="K54" s="292"/>
      <c r="L54" s="261"/>
      <c r="M54" s="259"/>
      <c r="N54" s="266"/>
      <c r="O54" s="259"/>
      <c r="P54" s="266"/>
      <c r="Q54" s="259"/>
      <c r="R54" s="266"/>
      <c r="S54" s="259"/>
      <c r="T54" s="266"/>
      <c r="U54" s="259"/>
      <c r="V54" s="266"/>
      <c r="W54" s="259"/>
      <c r="X54" s="266"/>
      <c r="Y54" s="259"/>
    </row>
    <row r="55" spans="3:25" ht="12.75" customHeight="1" x14ac:dyDescent="0.25">
      <c r="C55" s="259"/>
      <c r="D55" s="259"/>
      <c r="E55" s="266"/>
      <c r="F55" s="259"/>
      <c r="G55" s="266"/>
      <c r="H55" s="266"/>
      <c r="I55" s="259"/>
      <c r="J55" s="266"/>
      <c r="K55" s="292"/>
      <c r="L55" s="261"/>
      <c r="M55" s="259"/>
      <c r="N55" s="266"/>
      <c r="O55" s="259"/>
      <c r="P55" s="266"/>
      <c r="Q55" s="259"/>
      <c r="R55" s="266"/>
      <c r="S55" s="259"/>
      <c r="T55" s="266"/>
      <c r="U55" s="259"/>
      <c r="V55" s="266"/>
      <c r="W55" s="259"/>
      <c r="X55" s="266"/>
      <c r="Y55" s="259"/>
    </row>
    <row r="56" spans="3:25" ht="12.75" customHeight="1" x14ac:dyDescent="0.25">
      <c r="C56" s="259"/>
      <c r="D56" s="259"/>
      <c r="E56" s="266"/>
      <c r="F56" s="259"/>
      <c r="G56" s="266"/>
      <c r="H56" s="266"/>
      <c r="I56" s="259"/>
      <c r="J56" s="266"/>
      <c r="K56" s="292"/>
      <c r="L56" s="261"/>
      <c r="M56" s="259"/>
      <c r="N56" s="266"/>
      <c r="O56" s="259"/>
      <c r="P56" s="266"/>
      <c r="Q56" s="259"/>
      <c r="R56" s="266"/>
      <c r="S56" s="259"/>
      <c r="T56" s="266"/>
      <c r="U56" s="259"/>
      <c r="V56" s="266"/>
      <c r="W56" s="259"/>
      <c r="X56" s="266"/>
      <c r="Y56" s="259"/>
    </row>
    <row r="57" spans="3:25" ht="12.75" customHeight="1" x14ac:dyDescent="0.25">
      <c r="C57" s="259"/>
      <c r="D57" s="266"/>
      <c r="E57" s="266"/>
      <c r="F57" s="259"/>
      <c r="G57" s="266"/>
      <c r="H57" s="266"/>
      <c r="I57" s="259"/>
      <c r="J57" s="266"/>
      <c r="K57" s="292"/>
      <c r="L57" s="261"/>
      <c r="M57" s="259"/>
      <c r="N57" s="266"/>
      <c r="O57" s="259"/>
      <c r="P57" s="266"/>
      <c r="Q57" s="259"/>
      <c r="R57" s="266"/>
      <c r="S57" s="259"/>
      <c r="T57" s="266"/>
      <c r="U57" s="259"/>
      <c r="V57" s="266"/>
      <c r="W57" s="259"/>
      <c r="X57" s="266"/>
      <c r="Y57" s="259"/>
    </row>
    <row r="58" spans="3:25" ht="12.75" customHeight="1" x14ac:dyDescent="0.25">
      <c r="C58" s="259"/>
      <c r="D58" s="266"/>
      <c r="E58" s="266"/>
      <c r="F58" s="259"/>
      <c r="G58" s="266"/>
      <c r="H58" s="266"/>
      <c r="I58" s="259"/>
      <c r="J58" s="266"/>
      <c r="K58" s="292"/>
      <c r="L58" s="261"/>
      <c r="M58" s="259"/>
      <c r="N58" s="266"/>
      <c r="O58" s="259"/>
      <c r="P58" s="266"/>
      <c r="Q58" s="259"/>
      <c r="R58" s="266"/>
      <c r="S58" s="259"/>
      <c r="T58" s="266"/>
      <c r="U58" s="259"/>
      <c r="V58" s="266"/>
      <c r="W58" s="259"/>
      <c r="X58" s="266"/>
      <c r="Y58" s="259"/>
    </row>
    <row r="59" spans="3:25" ht="12.75" customHeight="1" x14ac:dyDescent="0.25">
      <c r="C59" s="259"/>
      <c r="D59" s="266"/>
      <c r="E59" s="266"/>
      <c r="F59" s="259"/>
      <c r="G59" s="266"/>
      <c r="H59" s="266"/>
      <c r="I59" s="259"/>
      <c r="J59" s="266"/>
      <c r="K59" s="292"/>
      <c r="L59" s="261"/>
      <c r="M59" s="259"/>
      <c r="N59" s="266"/>
      <c r="O59" s="259"/>
      <c r="P59" s="266"/>
      <c r="Q59" s="259"/>
      <c r="R59" s="266"/>
      <c r="S59" s="259"/>
      <c r="T59" s="266"/>
      <c r="U59" s="259"/>
      <c r="V59" s="259"/>
      <c r="W59" s="259"/>
      <c r="X59" s="259"/>
      <c r="Y59" s="259"/>
    </row>
    <row r="60" spans="3:25" ht="12.75" customHeight="1" x14ac:dyDescent="0.25">
      <c r="C60" s="259"/>
      <c r="D60" s="266"/>
      <c r="E60" s="266"/>
      <c r="F60" s="259"/>
      <c r="G60" s="259"/>
      <c r="H60" s="259"/>
      <c r="I60" s="259"/>
      <c r="J60" s="259"/>
      <c r="K60" s="292"/>
      <c r="L60" s="261"/>
      <c r="M60" s="259"/>
      <c r="N60" s="266"/>
      <c r="O60" s="259"/>
      <c r="P60" s="266"/>
      <c r="Q60" s="259"/>
      <c r="R60" s="266"/>
      <c r="S60" s="259"/>
      <c r="T60" s="266"/>
      <c r="U60" s="259"/>
      <c r="V60" s="259"/>
      <c r="W60" s="259"/>
      <c r="X60" s="259"/>
      <c r="Y60" s="259"/>
    </row>
    <row r="61" spans="3:25" ht="12.75" customHeight="1" x14ac:dyDescent="0.25">
      <c r="C61" s="259"/>
      <c r="D61" s="259"/>
      <c r="E61" s="259"/>
      <c r="F61" s="259"/>
      <c r="G61" s="266"/>
      <c r="H61" s="266"/>
      <c r="I61" s="259"/>
      <c r="J61" s="266"/>
      <c r="K61" s="292"/>
      <c r="L61" s="261"/>
      <c r="M61" s="259"/>
      <c r="N61" s="266"/>
      <c r="O61" s="259"/>
      <c r="P61" s="266"/>
      <c r="Q61" s="259"/>
      <c r="R61" s="266"/>
      <c r="S61" s="259"/>
      <c r="T61" s="266"/>
      <c r="U61" s="259"/>
      <c r="V61" s="266"/>
      <c r="W61" s="259"/>
      <c r="X61" s="266"/>
      <c r="Y61" s="259"/>
    </row>
    <row r="62" spans="3:25" ht="12.75" customHeight="1" x14ac:dyDescent="0.25">
      <c r="C62" s="259"/>
      <c r="D62" s="266"/>
      <c r="E62" s="266"/>
      <c r="F62" s="259"/>
      <c r="G62" s="266"/>
      <c r="H62" s="266"/>
      <c r="I62" s="259"/>
      <c r="J62" s="266"/>
      <c r="K62" s="292"/>
      <c r="L62" s="261"/>
      <c r="M62" s="259"/>
      <c r="N62" s="266"/>
      <c r="O62" s="259"/>
      <c r="P62" s="266"/>
      <c r="Q62" s="259"/>
      <c r="R62" s="266"/>
      <c r="S62" s="259"/>
      <c r="T62" s="266"/>
      <c r="U62" s="259"/>
      <c r="V62" s="266"/>
      <c r="W62" s="259"/>
      <c r="X62" s="266"/>
      <c r="Y62" s="259"/>
    </row>
    <row r="63" spans="3:25" ht="12.75" customHeight="1" x14ac:dyDescent="0.25">
      <c r="C63" s="259"/>
      <c r="D63" s="266"/>
      <c r="E63" s="266"/>
      <c r="F63" s="259"/>
      <c r="G63" s="266"/>
      <c r="H63" s="266"/>
      <c r="I63" s="259"/>
      <c r="J63" s="266"/>
      <c r="K63" s="292"/>
      <c r="L63" s="261"/>
      <c r="M63" s="259"/>
      <c r="N63" s="266"/>
      <c r="O63" s="259"/>
      <c r="P63" s="266"/>
      <c r="Q63" s="259"/>
      <c r="R63" s="266"/>
      <c r="S63" s="259"/>
      <c r="T63" s="266"/>
      <c r="U63" s="259"/>
      <c r="V63" s="266"/>
      <c r="W63" s="259"/>
      <c r="X63" s="266"/>
      <c r="Y63" s="259"/>
    </row>
    <row r="64" spans="3:25" ht="12.75" customHeight="1" x14ac:dyDescent="0.25">
      <c r="C64" s="259"/>
      <c r="D64" s="266"/>
      <c r="E64" s="266"/>
      <c r="F64" s="259"/>
      <c r="G64" s="259"/>
      <c r="H64" s="259"/>
      <c r="I64" s="259"/>
      <c r="J64" s="266"/>
      <c r="K64" s="292"/>
      <c r="L64" s="261"/>
      <c r="M64" s="259"/>
      <c r="N64" s="266"/>
      <c r="O64" s="259"/>
      <c r="P64" s="266"/>
      <c r="Q64" s="259"/>
      <c r="R64" s="266"/>
      <c r="S64" s="259"/>
      <c r="T64" s="266"/>
      <c r="U64" s="259"/>
      <c r="V64" s="259"/>
      <c r="W64" s="259"/>
      <c r="X64" s="259"/>
      <c r="Y64" s="259"/>
    </row>
    <row r="65" spans="3:25" ht="12.75" customHeight="1" x14ac:dyDescent="0.25">
      <c r="C65" s="259"/>
      <c r="D65" s="259"/>
      <c r="E65" s="259"/>
      <c r="F65" s="259"/>
      <c r="G65" s="259"/>
      <c r="H65" s="259"/>
      <c r="I65" s="259"/>
      <c r="J65" s="259"/>
      <c r="K65" s="292"/>
      <c r="L65" s="261"/>
      <c r="M65" s="259"/>
      <c r="N65" s="266"/>
      <c r="O65" s="259"/>
      <c r="P65" s="266"/>
      <c r="Q65" s="259"/>
      <c r="R65" s="266"/>
      <c r="S65" s="259"/>
      <c r="T65" s="266"/>
      <c r="U65" s="259"/>
      <c r="V65" s="266"/>
      <c r="W65" s="259"/>
      <c r="X65" s="266"/>
      <c r="Y65" s="259"/>
    </row>
    <row r="66" spans="3:25" ht="12.75" customHeight="1" x14ac:dyDescent="0.25">
      <c r="C66" s="259"/>
      <c r="D66" s="259"/>
      <c r="E66" s="259"/>
      <c r="F66" s="259"/>
      <c r="G66" s="266"/>
      <c r="H66" s="266"/>
      <c r="I66" s="259"/>
      <c r="J66" s="266"/>
      <c r="K66" s="292"/>
      <c r="L66" s="261"/>
      <c r="M66" s="259"/>
      <c r="N66" s="266"/>
      <c r="O66" s="259"/>
      <c r="P66" s="266"/>
      <c r="Q66" s="259"/>
      <c r="R66" s="266"/>
      <c r="S66" s="259"/>
      <c r="T66" s="266"/>
      <c r="U66" s="259"/>
      <c r="V66" s="259"/>
      <c r="W66" s="259"/>
      <c r="X66" s="259"/>
      <c r="Y66" s="259"/>
    </row>
    <row r="67" spans="3:25" ht="12.75" customHeight="1" x14ac:dyDescent="0.25">
      <c r="C67" s="259"/>
      <c r="D67" s="266"/>
      <c r="E67" s="266"/>
      <c r="F67" s="259"/>
      <c r="G67" s="266"/>
      <c r="H67" s="266"/>
      <c r="I67" s="259"/>
      <c r="J67" s="266"/>
      <c r="K67" s="292"/>
      <c r="L67" s="261"/>
      <c r="M67" s="259"/>
      <c r="N67" s="266"/>
      <c r="O67" s="259"/>
      <c r="P67" s="266"/>
      <c r="Q67" s="259"/>
      <c r="R67" s="266"/>
      <c r="S67" s="259"/>
      <c r="T67" s="266"/>
      <c r="U67" s="259"/>
      <c r="V67" s="266"/>
      <c r="W67" s="259"/>
      <c r="X67" s="266"/>
      <c r="Y67" s="259"/>
    </row>
    <row r="68" spans="3:25" ht="12.75" customHeight="1" x14ac:dyDescent="0.25">
      <c r="C68" s="259"/>
      <c r="D68" s="266"/>
      <c r="E68" s="266"/>
      <c r="F68" s="259"/>
      <c r="G68" s="266"/>
      <c r="H68" s="266"/>
      <c r="I68" s="259"/>
      <c r="J68" s="266"/>
      <c r="K68" s="292"/>
      <c r="L68" s="261"/>
      <c r="M68" s="259"/>
      <c r="N68" s="266"/>
      <c r="O68" s="259"/>
      <c r="P68" s="266"/>
      <c r="Q68" s="259"/>
      <c r="R68" s="266"/>
      <c r="S68" s="259"/>
      <c r="T68" s="266"/>
      <c r="U68" s="259"/>
      <c r="V68" s="266"/>
      <c r="W68" s="259"/>
      <c r="X68" s="266"/>
      <c r="Y68" s="259"/>
    </row>
    <row r="69" spans="3:25" ht="12.75" customHeight="1" x14ac:dyDescent="0.25">
      <c r="C69" s="259"/>
      <c r="D69" s="266"/>
      <c r="E69" s="266"/>
      <c r="F69" s="259"/>
      <c r="G69" s="259"/>
      <c r="H69" s="266"/>
      <c r="I69" s="259"/>
      <c r="J69" s="266"/>
      <c r="K69" s="292"/>
      <c r="L69" s="261"/>
      <c r="M69" s="259"/>
      <c r="N69" s="266"/>
      <c r="O69" s="259"/>
      <c r="P69" s="266"/>
      <c r="Q69" s="259"/>
      <c r="R69" s="266"/>
      <c r="S69" s="259"/>
      <c r="T69" s="266"/>
      <c r="U69" s="259"/>
      <c r="V69" s="266"/>
      <c r="W69" s="259"/>
      <c r="X69" s="266"/>
      <c r="Y69" s="259"/>
    </row>
    <row r="70" spans="3:25" ht="12.75" customHeight="1" x14ac:dyDescent="0.25">
      <c r="C70" s="259"/>
      <c r="D70" s="259"/>
      <c r="E70" s="259"/>
      <c r="F70" s="259"/>
      <c r="G70" s="266"/>
      <c r="H70" s="266"/>
      <c r="I70" s="259"/>
      <c r="J70" s="266"/>
      <c r="K70" s="292"/>
      <c r="L70" s="261"/>
      <c r="M70" s="259"/>
      <c r="N70" s="266"/>
      <c r="O70" s="259"/>
      <c r="P70" s="266"/>
      <c r="Q70" s="259"/>
      <c r="R70" s="266"/>
      <c r="S70" s="259"/>
      <c r="T70" s="266"/>
      <c r="U70" s="259"/>
      <c r="V70" s="266"/>
      <c r="W70" s="259"/>
      <c r="X70" s="266"/>
      <c r="Y70" s="259"/>
    </row>
    <row r="71" spans="3:25" ht="12.75" customHeight="1" x14ac:dyDescent="0.25">
      <c r="C71" s="259"/>
      <c r="D71" s="266"/>
      <c r="E71" s="266"/>
      <c r="F71" s="259"/>
      <c r="G71" s="259"/>
      <c r="H71" s="266"/>
      <c r="I71" s="259"/>
      <c r="J71" s="266"/>
      <c r="K71" s="292"/>
      <c r="L71" s="261"/>
      <c r="M71" s="259"/>
      <c r="N71" s="266"/>
      <c r="O71" s="259"/>
      <c r="P71" s="266"/>
      <c r="Q71" s="259"/>
      <c r="R71" s="266"/>
      <c r="S71" s="259"/>
      <c r="T71" s="266"/>
      <c r="U71" s="259"/>
      <c r="V71" s="266"/>
      <c r="W71" s="259"/>
      <c r="X71" s="266"/>
      <c r="Y71" s="259"/>
    </row>
    <row r="72" spans="3:25" ht="12.75" customHeight="1" x14ac:dyDescent="0.25">
      <c r="C72" s="259"/>
      <c r="D72" s="259"/>
      <c r="E72" s="259"/>
      <c r="F72" s="259"/>
      <c r="G72" s="259"/>
      <c r="H72" s="259"/>
      <c r="I72" s="259"/>
      <c r="J72" s="266"/>
      <c r="K72" s="292"/>
      <c r="L72" s="261"/>
      <c r="M72" s="259"/>
      <c r="N72" s="266"/>
      <c r="O72" s="259"/>
      <c r="P72" s="266"/>
      <c r="Q72" s="259"/>
      <c r="R72" s="266"/>
      <c r="S72" s="259"/>
      <c r="T72" s="266"/>
      <c r="U72" s="259"/>
      <c r="V72" s="259"/>
      <c r="W72" s="259"/>
      <c r="X72" s="259"/>
      <c r="Y72" s="259"/>
    </row>
    <row r="73" spans="3:25" ht="12.75" customHeight="1" x14ac:dyDescent="0.25">
      <c r="C73" s="259"/>
      <c r="D73" s="259"/>
      <c r="E73" s="259"/>
      <c r="F73" s="259"/>
      <c r="G73" s="259"/>
      <c r="H73" s="259"/>
      <c r="I73" s="259"/>
      <c r="J73" s="259"/>
      <c r="K73" s="292"/>
      <c r="L73" s="261"/>
      <c r="M73" s="259"/>
      <c r="N73" s="266"/>
      <c r="O73" s="259"/>
      <c r="P73" s="266"/>
      <c r="Q73" s="259"/>
      <c r="R73" s="266"/>
      <c r="S73" s="259"/>
      <c r="T73" s="266"/>
      <c r="U73" s="259"/>
      <c r="V73" s="266"/>
      <c r="W73" s="259"/>
      <c r="X73" s="266"/>
      <c r="Y73" s="259"/>
    </row>
    <row r="74" spans="3:25" ht="12.75" customHeight="1" x14ac:dyDescent="0.25">
      <c r="C74" s="259"/>
      <c r="D74" s="259"/>
      <c r="E74" s="259"/>
      <c r="F74" s="259"/>
      <c r="G74" s="266"/>
      <c r="H74" s="266"/>
      <c r="I74" s="259"/>
      <c r="J74" s="266"/>
      <c r="K74" s="292"/>
      <c r="L74" s="261"/>
      <c r="M74" s="259"/>
      <c r="N74" s="266"/>
      <c r="O74" s="259"/>
      <c r="P74" s="266"/>
      <c r="Q74" s="259"/>
      <c r="R74" s="266"/>
      <c r="S74" s="259"/>
      <c r="T74" s="266"/>
      <c r="U74" s="259"/>
      <c r="V74" s="266"/>
      <c r="W74" s="259"/>
      <c r="X74" s="266"/>
      <c r="Y74" s="259"/>
    </row>
    <row r="75" spans="3:25" ht="12.75" customHeight="1" x14ac:dyDescent="0.25">
      <c r="C75" s="259"/>
      <c r="D75" s="266"/>
      <c r="E75" s="266"/>
      <c r="F75" s="259"/>
      <c r="G75" s="259"/>
      <c r="H75" s="266"/>
      <c r="I75" s="259"/>
      <c r="J75" s="266"/>
      <c r="K75" s="292"/>
      <c r="L75" s="261"/>
      <c r="M75" s="259"/>
      <c r="N75" s="266"/>
      <c r="O75" s="259"/>
      <c r="P75" s="266"/>
      <c r="Q75" s="259"/>
      <c r="R75" s="266"/>
      <c r="S75" s="259"/>
      <c r="T75" s="266"/>
      <c r="U75" s="259"/>
      <c r="V75" s="259"/>
      <c r="W75" s="259"/>
      <c r="X75" s="259"/>
      <c r="Y75" s="259"/>
    </row>
    <row r="76" spans="3:25" ht="12.75" customHeight="1" x14ac:dyDescent="0.25">
      <c r="C76" s="259"/>
      <c r="D76" s="259"/>
      <c r="E76" s="259"/>
      <c r="F76" s="259"/>
      <c r="G76" s="266"/>
      <c r="H76" s="266"/>
      <c r="I76" s="259"/>
      <c r="J76" s="266"/>
      <c r="K76" s="292"/>
      <c r="L76" s="261"/>
      <c r="M76" s="259"/>
      <c r="N76" s="266"/>
      <c r="O76" s="259"/>
      <c r="P76" s="266"/>
      <c r="Q76" s="259"/>
      <c r="R76" s="266"/>
      <c r="S76" s="259"/>
      <c r="T76" s="266"/>
      <c r="U76" s="259"/>
      <c r="V76" s="266"/>
      <c r="W76" s="259"/>
      <c r="X76" s="266"/>
      <c r="Y76" s="259"/>
    </row>
    <row r="77" spans="3:25" ht="12.75" customHeight="1" x14ac:dyDescent="0.25">
      <c r="C77" s="259"/>
      <c r="D77" s="266"/>
      <c r="E77" s="266"/>
      <c r="F77" s="259"/>
      <c r="G77" s="259"/>
      <c r="H77" s="266"/>
      <c r="I77" s="259"/>
      <c r="J77" s="266"/>
      <c r="K77" s="292"/>
      <c r="L77" s="261"/>
      <c r="M77" s="259"/>
      <c r="N77" s="266"/>
      <c r="O77" s="259"/>
      <c r="P77" s="266"/>
      <c r="Q77" s="259"/>
      <c r="R77" s="266"/>
      <c r="S77" s="259"/>
      <c r="T77" s="266"/>
      <c r="U77" s="259"/>
      <c r="V77" s="259"/>
      <c r="W77" s="259"/>
      <c r="X77" s="259"/>
      <c r="Y77" s="259"/>
    </row>
    <row r="78" spans="3:25" ht="12.75" customHeight="1" x14ac:dyDescent="0.25">
      <c r="C78" s="259"/>
      <c r="D78" s="259"/>
      <c r="E78" s="259"/>
      <c r="F78" s="259"/>
      <c r="G78" s="266"/>
      <c r="H78" s="266"/>
      <c r="I78" s="259"/>
      <c r="J78" s="266"/>
      <c r="K78" s="292"/>
      <c r="L78" s="261"/>
      <c r="M78" s="259"/>
      <c r="N78" s="266"/>
      <c r="O78" s="259"/>
      <c r="P78" s="266"/>
      <c r="Q78" s="259"/>
      <c r="R78" s="266"/>
      <c r="S78" s="259"/>
      <c r="T78" s="266"/>
      <c r="U78" s="259"/>
      <c r="V78" s="266"/>
      <c r="W78" s="259"/>
      <c r="X78" s="266"/>
      <c r="Y78" s="259"/>
    </row>
    <row r="79" spans="3:25" ht="12.75" customHeight="1" x14ac:dyDescent="0.25">
      <c r="C79" s="259"/>
      <c r="D79" s="266"/>
      <c r="E79" s="266"/>
      <c r="F79" s="259"/>
      <c r="G79" s="259"/>
      <c r="H79" s="266"/>
      <c r="I79" s="259"/>
      <c r="J79" s="266"/>
      <c r="K79" s="292"/>
      <c r="L79" s="261"/>
      <c r="M79" s="259"/>
      <c r="N79" s="259"/>
      <c r="O79" s="259"/>
      <c r="P79" s="266"/>
      <c r="Q79" s="259"/>
      <c r="R79" s="266"/>
      <c r="S79" s="259"/>
      <c r="T79" s="266"/>
      <c r="U79" s="259"/>
      <c r="V79" s="259"/>
      <c r="W79" s="259"/>
      <c r="X79" s="266"/>
      <c r="Y79" s="259"/>
    </row>
    <row r="80" spans="3:25" ht="12.75" customHeight="1" x14ac:dyDescent="0.25">
      <c r="C80" s="259"/>
      <c r="D80" s="259"/>
      <c r="E80" s="259"/>
      <c r="F80" s="259"/>
      <c r="G80" s="259"/>
      <c r="H80" s="259"/>
      <c r="I80" s="259"/>
      <c r="J80" s="266"/>
      <c r="K80" s="292"/>
      <c r="L80" s="261"/>
      <c r="M80" s="259"/>
      <c r="N80" s="266"/>
      <c r="O80" s="259"/>
      <c r="P80" s="266"/>
      <c r="Q80" s="259"/>
      <c r="R80" s="266"/>
      <c r="S80" s="259"/>
      <c r="T80" s="266"/>
      <c r="U80" s="259"/>
      <c r="V80" s="259"/>
      <c r="W80" s="259"/>
      <c r="X80" s="259"/>
      <c r="Y80" s="259"/>
    </row>
    <row r="81" spans="3:25" ht="12.75" customHeight="1" x14ac:dyDescent="0.25">
      <c r="C81" s="259"/>
      <c r="D81" s="266"/>
      <c r="E81" s="259"/>
      <c r="F81" s="259"/>
      <c r="G81" s="266"/>
      <c r="H81" s="266"/>
      <c r="I81" s="259"/>
      <c r="J81" s="266"/>
      <c r="K81" s="292"/>
      <c r="L81" s="261"/>
      <c r="M81" s="259"/>
      <c r="N81" s="266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</row>
    <row r="82" spans="3:25" ht="12.75" customHeight="1" x14ac:dyDescent="0.25">
      <c r="C82" s="259"/>
      <c r="D82" s="259"/>
      <c r="E82" s="266"/>
      <c r="F82" s="259"/>
      <c r="G82" s="259"/>
      <c r="H82" s="259"/>
      <c r="I82" s="259"/>
      <c r="J82" s="266"/>
      <c r="K82" s="292"/>
      <c r="L82" s="261"/>
      <c r="M82" s="259"/>
      <c r="N82" s="266"/>
      <c r="O82" s="259"/>
      <c r="P82" s="266"/>
      <c r="Q82" s="259"/>
      <c r="R82" s="266"/>
      <c r="S82" s="259"/>
      <c r="T82" s="266"/>
      <c r="U82" s="259"/>
      <c r="V82" s="259"/>
      <c r="W82" s="259"/>
      <c r="X82" s="259"/>
      <c r="Y82" s="259"/>
    </row>
    <row r="83" spans="3:25" ht="12.75" customHeight="1" x14ac:dyDescent="0.25">
      <c r="C83" s="259"/>
      <c r="D83" s="259"/>
      <c r="E83" s="259"/>
      <c r="F83" s="259"/>
      <c r="G83" s="259"/>
      <c r="H83" s="259"/>
      <c r="I83" s="259"/>
      <c r="J83" s="259"/>
      <c r="K83" s="292"/>
      <c r="L83" s="261"/>
      <c r="M83" s="259"/>
      <c r="N83" s="266"/>
      <c r="O83" s="259"/>
      <c r="P83" s="266"/>
      <c r="Q83" s="259"/>
      <c r="R83" s="266"/>
      <c r="S83" s="259"/>
      <c r="T83" s="266"/>
      <c r="U83" s="259"/>
      <c r="V83" s="259"/>
      <c r="W83" s="259"/>
      <c r="X83" s="259"/>
      <c r="Y83" s="259"/>
    </row>
    <row r="84" spans="3:25" ht="12.75" customHeight="1" x14ac:dyDescent="0.25">
      <c r="C84" s="259"/>
      <c r="D84" s="259"/>
      <c r="E84" s="259"/>
      <c r="F84" s="259"/>
      <c r="G84" s="266"/>
      <c r="H84" s="266"/>
      <c r="I84" s="259"/>
      <c r="J84" s="266"/>
      <c r="K84" s="292"/>
      <c r="L84" s="261"/>
      <c r="M84" s="259"/>
      <c r="N84" s="266"/>
      <c r="O84" s="259"/>
      <c r="P84" s="266"/>
      <c r="Q84" s="259"/>
      <c r="R84" s="266"/>
      <c r="S84" s="259"/>
      <c r="T84" s="266"/>
      <c r="U84" s="259"/>
      <c r="V84" s="266"/>
      <c r="W84" s="259"/>
      <c r="X84" s="259"/>
      <c r="Y84" s="259"/>
    </row>
    <row r="85" spans="3:25" ht="12.75" customHeight="1" x14ac:dyDescent="0.25">
      <c r="C85" s="259"/>
      <c r="D85" s="266"/>
      <c r="E85" s="266"/>
      <c r="F85" s="259"/>
      <c r="G85" s="266"/>
      <c r="H85" s="266"/>
      <c r="I85" s="259"/>
      <c r="J85" s="266"/>
      <c r="K85" s="292"/>
      <c r="L85" s="261"/>
      <c r="M85" s="259"/>
      <c r="N85" s="266"/>
      <c r="O85" s="259"/>
      <c r="P85" s="266"/>
      <c r="Q85" s="259"/>
      <c r="R85" s="266"/>
      <c r="S85" s="259"/>
      <c r="T85" s="266"/>
      <c r="U85" s="259"/>
      <c r="V85" s="266"/>
      <c r="W85" s="259"/>
      <c r="X85" s="266"/>
      <c r="Y85" s="259"/>
    </row>
    <row r="86" spans="3:25" ht="12.75" customHeight="1" x14ac:dyDescent="0.25">
      <c r="C86" s="259"/>
      <c r="D86" s="266"/>
      <c r="E86" s="266"/>
      <c r="F86" s="259"/>
      <c r="G86" s="266"/>
      <c r="H86" s="266"/>
      <c r="I86" s="259"/>
      <c r="J86" s="266"/>
      <c r="K86" s="292"/>
      <c r="L86" s="261"/>
      <c r="M86" s="259"/>
      <c r="N86" s="259"/>
      <c r="O86" s="259"/>
      <c r="P86" s="266"/>
      <c r="Q86" s="259"/>
      <c r="R86" s="266"/>
      <c r="S86" s="259"/>
      <c r="T86" s="266"/>
      <c r="U86" s="259"/>
      <c r="V86" s="259"/>
      <c r="W86" s="259"/>
      <c r="X86" s="259"/>
      <c r="Y86" s="259"/>
    </row>
    <row r="87" spans="3:25" ht="12.75" customHeight="1" x14ac:dyDescent="0.25">
      <c r="C87" s="259"/>
      <c r="D87" s="259"/>
      <c r="E87" s="259"/>
      <c r="F87" s="259"/>
      <c r="G87" s="259"/>
      <c r="H87" s="266"/>
      <c r="I87" s="259"/>
      <c r="J87" s="266"/>
      <c r="K87" s="292"/>
      <c r="L87" s="261"/>
      <c r="M87" s="259"/>
      <c r="N87" s="266"/>
      <c r="O87" s="259"/>
      <c r="P87" s="266"/>
      <c r="Q87" s="259"/>
      <c r="R87" s="266"/>
      <c r="S87" s="259"/>
      <c r="T87" s="266"/>
      <c r="U87" s="259"/>
      <c r="V87" s="266"/>
      <c r="W87" s="259"/>
      <c r="X87" s="266"/>
      <c r="Y87" s="259"/>
    </row>
    <row r="88" spans="3:25" ht="12.75" customHeight="1" x14ac:dyDescent="0.25">
      <c r="C88" s="259"/>
      <c r="D88" s="259"/>
      <c r="E88" s="259"/>
      <c r="F88" s="259"/>
      <c r="G88" s="266"/>
      <c r="H88" s="266"/>
      <c r="I88" s="259"/>
      <c r="J88" s="266"/>
      <c r="K88" s="292"/>
      <c r="L88" s="261"/>
      <c r="M88" s="259"/>
      <c r="N88" s="266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</row>
    <row r="89" spans="3:25" ht="12.75" customHeight="1" x14ac:dyDescent="0.25">
      <c r="C89" s="259"/>
      <c r="D89" s="266"/>
      <c r="E89" s="266"/>
      <c r="F89" s="259"/>
      <c r="G89" s="259"/>
      <c r="H89" s="259"/>
      <c r="I89" s="259"/>
      <c r="J89" s="259"/>
      <c r="K89" s="292"/>
      <c r="L89" s="261"/>
      <c r="M89" s="259"/>
      <c r="O89" s="259"/>
      <c r="P89" s="266"/>
      <c r="Q89" s="259"/>
      <c r="R89" s="266"/>
      <c r="S89" s="259"/>
      <c r="T89" s="266"/>
      <c r="U89" s="259"/>
      <c r="V89" s="259"/>
      <c r="W89" s="259"/>
      <c r="X89" s="259"/>
      <c r="Y89" s="259"/>
    </row>
    <row r="90" spans="3:25" ht="12.75" customHeight="1" x14ac:dyDescent="0.25">
      <c r="C90" s="259"/>
      <c r="D90" s="259"/>
      <c r="E90" s="259"/>
      <c r="F90" s="259"/>
      <c r="G90" s="259"/>
      <c r="H90" s="266"/>
      <c r="I90" s="259"/>
      <c r="J90" s="266"/>
      <c r="K90" s="292"/>
      <c r="L90" s="261"/>
      <c r="M90" s="259"/>
      <c r="O90" s="259"/>
      <c r="P90" s="266"/>
      <c r="Q90" s="259"/>
      <c r="R90" s="266"/>
      <c r="S90" s="259"/>
      <c r="T90" s="266"/>
      <c r="U90" s="259"/>
      <c r="V90" s="259"/>
      <c r="W90" s="259"/>
    </row>
    <row r="91" spans="3:25" ht="12.75" customHeight="1" x14ac:dyDescent="0.25">
      <c r="D91" s="259"/>
      <c r="E91" s="259"/>
      <c r="K91" s="292"/>
      <c r="L91" s="261"/>
    </row>
    <row r="92" spans="3:25" ht="12.75" customHeight="1" x14ac:dyDescent="0.25">
      <c r="K92" s="292"/>
      <c r="L92" s="261"/>
    </row>
    <row r="93" spans="3:25" x14ac:dyDescent="0.25">
      <c r="K93" s="292"/>
      <c r="L93" s="261"/>
    </row>
    <row r="94" spans="3:25" x14ac:dyDescent="0.25">
      <c r="K94" s="292"/>
      <c r="L94" s="261"/>
    </row>
    <row r="95" spans="3:25" x14ac:dyDescent="0.25">
      <c r="K95" s="292"/>
      <c r="L95" s="261"/>
    </row>
    <row r="96" spans="3:25" x14ac:dyDescent="0.25">
      <c r="K96" s="292"/>
      <c r="L96" s="261"/>
    </row>
    <row r="97" spans="11:12" x14ac:dyDescent="0.25">
      <c r="K97" s="292"/>
      <c r="L97" s="261"/>
    </row>
  </sheetData>
  <mergeCells count="3">
    <mergeCell ref="A4:B4"/>
    <mergeCell ref="D4:E4"/>
    <mergeCell ref="G4:H4"/>
  </mergeCells>
  <pageMargins left="0.19685039370078741" right="0.19685039370078741" top="0.98425196850393704" bottom="0.98425196850393704" header="0" footer="0"/>
  <pageSetup paperSize="9" scale="75" orientation="portrait" r:id="rId1"/>
  <headerFooter alignWithMargins="0"/>
  <colBreaks count="1" manualBreakCount="1">
    <brk id="8" max="9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59"/>
  <sheetViews>
    <sheetView zoomScaleNormal="100" workbookViewId="0">
      <selection activeCell="C10" sqref="C10"/>
    </sheetView>
  </sheetViews>
  <sheetFormatPr defaultColWidth="9.1796875" defaultRowHeight="14" x14ac:dyDescent="0.3"/>
  <cols>
    <col min="1" max="1" width="20.36328125" style="294" customWidth="1"/>
    <col min="2" max="2" width="17.26953125" style="293" customWidth="1"/>
    <col min="3" max="3" width="4.7265625" style="294" customWidth="1"/>
    <col min="4" max="4" width="15.54296875" style="294" customWidth="1"/>
    <col min="5" max="5" width="17.26953125" style="294" customWidth="1"/>
    <col min="6" max="6" width="4.26953125" style="294" customWidth="1"/>
    <col min="7" max="7" width="15.54296875" style="294" customWidth="1"/>
    <col min="8" max="8" width="17.26953125" style="294" customWidth="1"/>
    <col min="9" max="256" width="9.1796875" style="294"/>
    <col min="257" max="257" width="20.36328125" style="294" customWidth="1"/>
    <col min="258" max="258" width="17.26953125" style="294" customWidth="1"/>
    <col min="259" max="259" width="4.7265625" style="294" customWidth="1"/>
    <col min="260" max="260" width="15.54296875" style="294" customWidth="1"/>
    <col min="261" max="261" width="17.26953125" style="294" customWidth="1"/>
    <col min="262" max="262" width="4.26953125" style="294" customWidth="1"/>
    <col min="263" max="263" width="15.54296875" style="294" customWidth="1"/>
    <col min="264" max="264" width="17.26953125" style="294" customWidth="1"/>
    <col min="265" max="512" width="9.1796875" style="294"/>
    <col min="513" max="513" width="20.36328125" style="294" customWidth="1"/>
    <col min="514" max="514" width="17.26953125" style="294" customWidth="1"/>
    <col min="515" max="515" width="4.7265625" style="294" customWidth="1"/>
    <col min="516" max="516" width="15.54296875" style="294" customWidth="1"/>
    <col min="517" max="517" width="17.26953125" style="294" customWidth="1"/>
    <col min="518" max="518" width="4.26953125" style="294" customWidth="1"/>
    <col min="519" max="519" width="15.54296875" style="294" customWidth="1"/>
    <col min="520" max="520" width="17.26953125" style="294" customWidth="1"/>
    <col min="521" max="768" width="9.1796875" style="294"/>
    <col min="769" max="769" width="20.36328125" style="294" customWidth="1"/>
    <col min="770" max="770" width="17.26953125" style="294" customWidth="1"/>
    <col min="771" max="771" width="4.7265625" style="294" customWidth="1"/>
    <col min="772" max="772" width="15.54296875" style="294" customWidth="1"/>
    <col min="773" max="773" width="17.26953125" style="294" customWidth="1"/>
    <col min="774" max="774" width="4.26953125" style="294" customWidth="1"/>
    <col min="775" max="775" width="15.54296875" style="294" customWidth="1"/>
    <col min="776" max="776" width="17.26953125" style="294" customWidth="1"/>
    <col min="777" max="1024" width="9.1796875" style="294"/>
    <col min="1025" max="1025" width="20.36328125" style="294" customWidth="1"/>
    <col min="1026" max="1026" width="17.26953125" style="294" customWidth="1"/>
    <col min="1027" max="1027" width="4.7265625" style="294" customWidth="1"/>
    <col min="1028" max="1028" width="15.54296875" style="294" customWidth="1"/>
    <col min="1029" max="1029" width="17.26953125" style="294" customWidth="1"/>
    <col min="1030" max="1030" width="4.26953125" style="294" customWidth="1"/>
    <col min="1031" max="1031" width="15.54296875" style="294" customWidth="1"/>
    <col min="1032" max="1032" width="17.26953125" style="294" customWidth="1"/>
    <col min="1033" max="1280" width="9.1796875" style="294"/>
    <col min="1281" max="1281" width="20.36328125" style="294" customWidth="1"/>
    <col min="1282" max="1282" width="17.26953125" style="294" customWidth="1"/>
    <col min="1283" max="1283" width="4.7265625" style="294" customWidth="1"/>
    <col min="1284" max="1284" width="15.54296875" style="294" customWidth="1"/>
    <col min="1285" max="1285" width="17.26953125" style="294" customWidth="1"/>
    <col min="1286" max="1286" width="4.26953125" style="294" customWidth="1"/>
    <col min="1287" max="1287" width="15.54296875" style="294" customWidth="1"/>
    <col min="1288" max="1288" width="17.26953125" style="294" customWidth="1"/>
    <col min="1289" max="1536" width="9.1796875" style="294"/>
    <col min="1537" max="1537" width="20.36328125" style="294" customWidth="1"/>
    <col min="1538" max="1538" width="17.26953125" style="294" customWidth="1"/>
    <col min="1539" max="1539" width="4.7265625" style="294" customWidth="1"/>
    <col min="1540" max="1540" width="15.54296875" style="294" customWidth="1"/>
    <col min="1541" max="1541" width="17.26953125" style="294" customWidth="1"/>
    <col min="1542" max="1542" width="4.26953125" style="294" customWidth="1"/>
    <col min="1543" max="1543" width="15.54296875" style="294" customWidth="1"/>
    <col min="1544" max="1544" width="17.26953125" style="294" customWidth="1"/>
    <col min="1545" max="1792" width="9.1796875" style="294"/>
    <col min="1793" max="1793" width="20.36328125" style="294" customWidth="1"/>
    <col min="1794" max="1794" width="17.26953125" style="294" customWidth="1"/>
    <col min="1795" max="1795" width="4.7265625" style="294" customWidth="1"/>
    <col min="1796" max="1796" width="15.54296875" style="294" customWidth="1"/>
    <col min="1797" max="1797" width="17.26953125" style="294" customWidth="1"/>
    <col min="1798" max="1798" width="4.26953125" style="294" customWidth="1"/>
    <col min="1799" max="1799" width="15.54296875" style="294" customWidth="1"/>
    <col min="1800" max="1800" width="17.26953125" style="294" customWidth="1"/>
    <col min="1801" max="2048" width="9.1796875" style="294"/>
    <col min="2049" max="2049" width="20.36328125" style="294" customWidth="1"/>
    <col min="2050" max="2050" width="17.26953125" style="294" customWidth="1"/>
    <col min="2051" max="2051" width="4.7265625" style="294" customWidth="1"/>
    <col min="2052" max="2052" width="15.54296875" style="294" customWidth="1"/>
    <col min="2053" max="2053" width="17.26953125" style="294" customWidth="1"/>
    <col min="2054" max="2054" width="4.26953125" style="294" customWidth="1"/>
    <col min="2055" max="2055" width="15.54296875" style="294" customWidth="1"/>
    <col min="2056" max="2056" width="17.26953125" style="294" customWidth="1"/>
    <col min="2057" max="2304" width="9.1796875" style="294"/>
    <col min="2305" max="2305" width="20.36328125" style="294" customWidth="1"/>
    <col min="2306" max="2306" width="17.26953125" style="294" customWidth="1"/>
    <col min="2307" max="2307" width="4.7265625" style="294" customWidth="1"/>
    <col min="2308" max="2308" width="15.54296875" style="294" customWidth="1"/>
    <col min="2309" max="2309" width="17.26953125" style="294" customWidth="1"/>
    <col min="2310" max="2310" width="4.26953125" style="294" customWidth="1"/>
    <col min="2311" max="2311" width="15.54296875" style="294" customWidth="1"/>
    <col min="2312" max="2312" width="17.26953125" style="294" customWidth="1"/>
    <col min="2313" max="2560" width="9.1796875" style="294"/>
    <col min="2561" max="2561" width="20.36328125" style="294" customWidth="1"/>
    <col min="2562" max="2562" width="17.26953125" style="294" customWidth="1"/>
    <col min="2563" max="2563" width="4.7265625" style="294" customWidth="1"/>
    <col min="2564" max="2564" width="15.54296875" style="294" customWidth="1"/>
    <col min="2565" max="2565" width="17.26953125" style="294" customWidth="1"/>
    <col min="2566" max="2566" width="4.26953125" style="294" customWidth="1"/>
    <col min="2567" max="2567" width="15.54296875" style="294" customWidth="1"/>
    <col min="2568" max="2568" width="17.26953125" style="294" customWidth="1"/>
    <col min="2569" max="2816" width="9.1796875" style="294"/>
    <col min="2817" max="2817" width="20.36328125" style="294" customWidth="1"/>
    <col min="2818" max="2818" width="17.26953125" style="294" customWidth="1"/>
    <col min="2819" max="2819" width="4.7265625" style="294" customWidth="1"/>
    <col min="2820" max="2820" width="15.54296875" style="294" customWidth="1"/>
    <col min="2821" max="2821" width="17.26953125" style="294" customWidth="1"/>
    <col min="2822" max="2822" width="4.26953125" style="294" customWidth="1"/>
    <col min="2823" max="2823" width="15.54296875" style="294" customWidth="1"/>
    <col min="2824" max="2824" width="17.26953125" style="294" customWidth="1"/>
    <col min="2825" max="3072" width="9.1796875" style="294"/>
    <col min="3073" max="3073" width="20.36328125" style="294" customWidth="1"/>
    <col min="3074" max="3074" width="17.26953125" style="294" customWidth="1"/>
    <col min="3075" max="3075" width="4.7265625" style="294" customWidth="1"/>
    <col min="3076" max="3076" width="15.54296875" style="294" customWidth="1"/>
    <col min="3077" max="3077" width="17.26953125" style="294" customWidth="1"/>
    <col min="3078" max="3078" width="4.26953125" style="294" customWidth="1"/>
    <col min="3079" max="3079" width="15.54296875" style="294" customWidth="1"/>
    <col min="3080" max="3080" width="17.26953125" style="294" customWidth="1"/>
    <col min="3081" max="3328" width="9.1796875" style="294"/>
    <col min="3329" max="3329" width="20.36328125" style="294" customWidth="1"/>
    <col min="3330" max="3330" width="17.26953125" style="294" customWidth="1"/>
    <col min="3331" max="3331" width="4.7265625" style="294" customWidth="1"/>
    <col min="3332" max="3332" width="15.54296875" style="294" customWidth="1"/>
    <col min="3333" max="3333" width="17.26953125" style="294" customWidth="1"/>
    <col min="3334" max="3334" width="4.26953125" style="294" customWidth="1"/>
    <col min="3335" max="3335" width="15.54296875" style="294" customWidth="1"/>
    <col min="3336" max="3336" width="17.26953125" style="294" customWidth="1"/>
    <col min="3337" max="3584" width="9.1796875" style="294"/>
    <col min="3585" max="3585" width="20.36328125" style="294" customWidth="1"/>
    <col min="3586" max="3586" width="17.26953125" style="294" customWidth="1"/>
    <col min="3587" max="3587" width="4.7265625" style="294" customWidth="1"/>
    <col min="3588" max="3588" width="15.54296875" style="294" customWidth="1"/>
    <col min="3589" max="3589" width="17.26953125" style="294" customWidth="1"/>
    <col min="3590" max="3590" width="4.26953125" style="294" customWidth="1"/>
    <col min="3591" max="3591" width="15.54296875" style="294" customWidth="1"/>
    <col min="3592" max="3592" width="17.26953125" style="294" customWidth="1"/>
    <col min="3593" max="3840" width="9.1796875" style="294"/>
    <col min="3841" max="3841" width="20.36328125" style="294" customWidth="1"/>
    <col min="3842" max="3842" width="17.26953125" style="294" customWidth="1"/>
    <col min="3843" max="3843" width="4.7265625" style="294" customWidth="1"/>
    <col min="3844" max="3844" width="15.54296875" style="294" customWidth="1"/>
    <col min="3845" max="3845" width="17.26953125" style="294" customWidth="1"/>
    <col min="3846" max="3846" width="4.26953125" style="294" customWidth="1"/>
    <col min="3847" max="3847" width="15.54296875" style="294" customWidth="1"/>
    <col min="3848" max="3848" width="17.26953125" style="294" customWidth="1"/>
    <col min="3849" max="4096" width="9.1796875" style="294"/>
    <col min="4097" max="4097" width="20.36328125" style="294" customWidth="1"/>
    <col min="4098" max="4098" width="17.26953125" style="294" customWidth="1"/>
    <col min="4099" max="4099" width="4.7265625" style="294" customWidth="1"/>
    <col min="4100" max="4100" width="15.54296875" style="294" customWidth="1"/>
    <col min="4101" max="4101" width="17.26953125" style="294" customWidth="1"/>
    <col min="4102" max="4102" width="4.26953125" style="294" customWidth="1"/>
    <col min="4103" max="4103" width="15.54296875" style="294" customWidth="1"/>
    <col min="4104" max="4104" width="17.26953125" style="294" customWidth="1"/>
    <col min="4105" max="4352" width="9.1796875" style="294"/>
    <col min="4353" max="4353" width="20.36328125" style="294" customWidth="1"/>
    <col min="4354" max="4354" width="17.26953125" style="294" customWidth="1"/>
    <col min="4355" max="4355" width="4.7265625" style="294" customWidth="1"/>
    <col min="4356" max="4356" width="15.54296875" style="294" customWidth="1"/>
    <col min="4357" max="4357" width="17.26953125" style="294" customWidth="1"/>
    <col min="4358" max="4358" width="4.26953125" style="294" customWidth="1"/>
    <col min="4359" max="4359" width="15.54296875" style="294" customWidth="1"/>
    <col min="4360" max="4360" width="17.26953125" style="294" customWidth="1"/>
    <col min="4361" max="4608" width="9.1796875" style="294"/>
    <col min="4609" max="4609" width="20.36328125" style="294" customWidth="1"/>
    <col min="4610" max="4610" width="17.26953125" style="294" customWidth="1"/>
    <col min="4611" max="4611" width="4.7265625" style="294" customWidth="1"/>
    <col min="4612" max="4612" width="15.54296875" style="294" customWidth="1"/>
    <col min="4613" max="4613" width="17.26953125" style="294" customWidth="1"/>
    <col min="4614" max="4614" width="4.26953125" style="294" customWidth="1"/>
    <col min="4615" max="4615" width="15.54296875" style="294" customWidth="1"/>
    <col min="4616" max="4616" width="17.26953125" style="294" customWidth="1"/>
    <col min="4617" max="4864" width="9.1796875" style="294"/>
    <col min="4865" max="4865" width="20.36328125" style="294" customWidth="1"/>
    <col min="4866" max="4866" width="17.26953125" style="294" customWidth="1"/>
    <col min="4867" max="4867" width="4.7265625" style="294" customWidth="1"/>
    <col min="4868" max="4868" width="15.54296875" style="294" customWidth="1"/>
    <col min="4869" max="4869" width="17.26953125" style="294" customWidth="1"/>
    <col min="4870" max="4870" width="4.26953125" style="294" customWidth="1"/>
    <col min="4871" max="4871" width="15.54296875" style="294" customWidth="1"/>
    <col min="4872" max="4872" width="17.26953125" style="294" customWidth="1"/>
    <col min="4873" max="5120" width="9.1796875" style="294"/>
    <col min="5121" max="5121" width="20.36328125" style="294" customWidth="1"/>
    <col min="5122" max="5122" width="17.26953125" style="294" customWidth="1"/>
    <col min="5123" max="5123" width="4.7265625" style="294" customWidth="1"/>
    <col min="5124" max="5124" width="15.54296875" style="294" customWidth="1"/>
    <col min="5125" max="5125" width="17.26953125" style="294" customWidth="1"/>
    <col min="5126" max="5126" width="4.26953125" style="294" customWidth="1"/>
    <col min="5127" max="5127" width="15.54296875" style="294" customWidth="1"/>
    <col min="5128" max="5128" width="17.26953125" style="294" customWidth="1"/>
    <col min="5129" max="5376" width="9.1796875" style="294"/>
    <col min="5377" max="5377" width="20.36328125" style="294" customWidth="1"/>
    <col min="5378" max="5378" width="17.26953125" style="294" customWidth="1"/>
    <col min="5379" max="5379" width="4.7265625" style="294" customWidth="1"/>
    <col min="5380" max="5380" width="15.54296875" style="294" customWidth="1"/>
    <col min="5381" max="5381" width="17.26953125" style="294" customWidth="1"/>
    <col min="5382" max="5382" width="4.26953125" style="294" customWidth="1"/>
    <col min="5383" max="5383" width="15.54296875" style="294" customWidth="1"/>
    <col min="5384" max="5384" width="17.26953125" style="294" customWidth="1"/>
    <col min="5385" max="5632" width="9.1796875" style="294"/>
    <col min="5633" max="5633" width="20.36328125" style="294" customWidth="1"/>
    <col min="5634" max="5634" width="17.26953125" style="294" customWidth="1"/>
    <col min="5635" max="5635" width="4.7265625" style="294" customWidth="1"/>
    <col min="5636" max="5636" width="15.54296875" style="294" customWidth="1"/>
    <col min="5637" max="5637" width="17.26953125" style="294" customWidth="1"/>
    <col min="5638" max="5638" width="4.26953125" style="294" customWidth="1"/>
    <col min="5639" max="5639" width="15.54296875" style="294" customWidth="1"/>
    <col min="5640" max="5640" width="17.26953125" style="294" customWidth="1"/>
    <col min="5641" max="5888" width="9.1796875" style="294"/>
    <col min="5889" max="5889" width="20.36328125" style="294" customWidth="1"/>
    <col min="5890" max="5890" width="17.26953125" style="294" customWidth="1"/>
    <col min="5891" max="5891" width="4.7265625" style="294" customWidth="1"/>
    <col min="5892" max="5892" width="15.54296875" style="294" customWidth="1"/>
    <col min="5893" max="5893" width="17.26953125" style="294" customWidth="1"/>
    <col min="5894" max="5894" width="4.26953125" style="294" customWidth="1"/>
    <col min="5895" max="5895" width="15.54296875" style="294" customWidth="1"/>
    <col min="5896" max="5896" width="17.26953125" style="294" customWidth="1"/>
    <col min="5897" max="6144" width="9.1796875" style="294"/>
    <col min="6145" max="6145" width="20.36328125" style="294" customWidth="1"/>
    <col min="6146" max="6146" width="17.26953125" style="294" customWidth="1"/>
    <col min="6147" max="6147" width="4.7265625" style="294" customWidth="1"/>
    <col min="6148" max="6148" width="15.54296875" style="294" customWidth="1"/>
    <col min="6149" max="6149" width="17.26953125" style="294" customWidth="1"/>
    <col min="6150" max="6150" width="4.26953125" style="294" customWidth="1"/>
    <col min="6151" max="6151" width="15.54296875" style="294" customWidth="1"/>
    <col min="6152" max="6152" width="17.26953125" style="294" customWidth="1"/>
    <col min="6153" max="6400" width="9.1796875" style="294"/>
    <col min="6401" max="6401" width="20.36328125" style="294" customWidth="1"/>
    <col min="6402" max="6402" width="17.26953125" style="294" customWidth="1"/>
    <col min="6403" max="6403" width="4.7265625" style="294" customWidth="1"/>
    <col min="6404" max="6404" width="15.54296875" style="294" customWidth="1"/>
    <col min="6405" max="6405" width="17.26953125" style="294" customWidth="1"/>
    <col min="6406" max="6406" width="4.26953125" style="294" customWidth="1"/>
    <col min="6407" max="6407" width="15.54296875" style="294" customWidth="1"/>
    <col min="6408" max="6408" width="17.26953125" style="294" customWidth="1"/>
    <col min="6409" max="6656" width="9.1796875" style="294"/>
    <col min="6657" max="6657" width="20.36328125" style="294" customWidth="1"/>
    <col min="6658" max="6658" width="17.26953125" style="294" customWidth="1"/>
    <col min="6659" max="6659" width="4.7265625" style="294" customWidth="1"/>
    <col min="6660" max="6660" width="15.54296875" style="294" customWidth="1"/>
    <col min="6661" max="6661" width="17.26953125" style="294" customWidth="1"/>
    <col min="6662" max="6662" width="4.26953125" style="294" customWidth="1"/>
    <col min="6663" max="6663" width="15.54296875" style="294" customWidth="1"/>
    <col min="6664" max="6664" width="17.26953125" style="294" customWidth="1"/>
    <col min="6665" max="6912" width="9.1796875" style="294"/>
    <col min="6913" max="6913" width="20.36328125" style="294" customWidth="1"/>
    <col min="6914" max="6914" width="17.26953125" style="294" customWidth="1"/>
    <col min="6915" max="6915" width="4.7265625" style="294" customWidth="1"/>
    <col min="6916" max="6916" width="15.54296875" style="294" customWidth="1"/>
    <col min="6917" max="6917" width="17.26953125" style="294" customWidth="1"/>
    <col min="6918" max="6918" width="4.26953125" style="294" customWidth="1"/>
    <col min="6919" max="6919" width="15.54296875" style="294" customWidth="1"/>
    <col min="6920" max="6920" width="17.26953125" style="294" customWidth="1"/>
    <col min="6921" max="7168" width="9.1796875" style="294"/>
    <col min="7169" max="7169" width="20.36328125" style="294" customWidth="1"/>
    <col min="7170" max="7170" width="17.26953125" style="294" customWidth="1"/>
    <col min="7171" max="7171" width="4.7265625" style="294" customWidth="1"/>
    <col min="7172" max="7172" width="15.54296875" style="294" customWidth="1"/>
    <col min="7173" max="7173" width="17.26953125" style="294" customWidth="1"/>
    <col min="7174" max="7174" width="4.26953125" style="294" customWidth="1"/>
    <col min="7175" max="7175" width="15.54296875" style="294" customWidth="1"/>
    <col min="7176" max="7176" width="17.26953125" style="294" customWidth="1"/>
    <col min="7177" max="7424" width="9.1796875" style="294"/>
    <col min="7425" max="7425" width="20.36328125" style="294" customWidth="1"/>
    <col min="7426" max="7426" width="17.26953125" style="294" customWidth="1"/>
    <col min="7427" max="7427" width="4.7265625" style="294" customWidth="1"/>
    <col min="7428" max="7428" width="15.54296875" style="294" customWidth="1"/>
    <col min="7429" max="7429" width="17.26953125" style="294" customWidth="1"/>
    <col min="7430" max="7430" width="4.26953125" style="294" customWidth="1"/>
    <col min="7431" max="7431" width="15.54296875" style="294" customWidth="1"/>
    <col min="7432" max="7432" width="17.26953125" style="294" customWidth="1"/>
    <col min="7433" max="7680" width="9.1796875" style="294"/>
    <col min="7681" max="7681" width="20.36328125" style="294" customWidth="1"/>
    <col min="7682" max="7682" width="17.26953125" style="294" customWidth="1"/>
    <col min="7683" max="7683" width="4.7265625" style="294" customWidth="1"/>
    <col min="7684" max="7684" width="15.54296875" style="294" customWidth="1"/>
    <col min="7685" max="7685" width="17.26953125" style="294" customWidth="1"/>
    <col min="7686" max="7686" width="4.26953125" style="294" customWidth="1"/>
    <col min="7687" max="7687" width="15.54296875" style="294" customWidth="1"/>
    <col min="7688" max="7688" width="17.26953125" style="294" customWidth="1"/>
    <col min="7689" max="7936" width="9.1796875" style="294"/>
    <col min="7937" max="7937" width="20.36328125" style="294" customWidth="1"/>
    <col min="7938" max="7938" width="17.26953125" style="294" customWidth="1"/>
    <col min="7939" max="7939" width="4.7265625" style="294" customWidth="1"/>
    <col min="7940" max="7940" width="15.54296875" style="294" customWidth="1"/>
    <col min="7941" max="7941" width="17.26953125" style="294" customWidth="1"/>
    <col min="7942" max="7942" width="4.26953125" style="294" customWidth="1"/>
    <col min="7943" max="7943" width="15.54296875" style="294" customWidth="1"/>
    <col min="7944" max="7944" width="17.26953125" style="294" customWidth="1"/>
    <col min="7945" max="8192" width="9.1796875" style="294"/>
    <col min="8193" max="8193" width="20.36328125" style="294" customWidth="1"/>
    <col min="8194" max="8194" width="17.26953125" style="294" customWidth="1"/>
    <col min="8195" max="8195" width="4.7265625" style="294" customWidth="1"/>
    <col min="8196" max="8196" width="15.54296875" style="294" customWidth="1"/>
    <col min="8197" max="8197" width="17.26953125" style="294" customWidth="1"/>
    <col min="8198" max="8198" width="4.26953125" style="294" customWidth="1"/>
    <col min="8199" max="8199" width="15.54296875" style="294" customWidth="1"/>
    <col min="8200" max="8200" width="17.26953125" style="294" customWidth="1"/>
    <col min="8201" max="8448" width="9.1796875" style="294"/>
    <col min="8449" max="8449" width="20.36328125" style="294" customWidth="1"/>
    <col min="8450" max="8450" width="17.26953125" style="294" customWidth="1"/>
    <col min="8451" max="8451" width="4.7265625" style="294" customWidth="1"/>
    <col min="8452" max="8452" width="15.54296875" style="294" customWidth="1"/>
    <col min="8453" max="8453" width="17.26953125" style="294" customWidth="1"/>
    <col min="8454" max="8454" width="4.26953125" style="294" customWidth="1"/>
    <col min="8455" max="8455" width="15.54296875" style="294" customWidth="1"/>
    <col min="8456" max="8456" width="17.26953125" style="294" customWidth="1"/>
    <col min="8457" max="8704" width="9.1796875" style="294"/>
    <col min="8705" max="8705" width="20.36328125" style="294" customWidth="1"/>
    <col min="8706" max="8706" width="17.26953125" style="294" customWidth="1"/>
    <col min="8707" max="8707" width="4.7265625" style="294" customWidth="1"/>
    <col min="8708" max="8708" width="15.54296875" style="294" customWidth="1"/>
    <col min="8709" max="8709" width="17.26953125" style="294" customWidth="1"/>
    <col min="8710" max="8710" width="4.26953125" style="294" customWidth="1"/>
    <col min="8711" max="8711" width="15.54296875" style="294" customWidth="1"/>
    <col min="8712" max="8712" width="17.26953125" style="294" customWidth="1"/>
    <col min="8713" max="8960" width="9.1796875" style="294"/>
    <col min="8961" max="8961" width="20.36328125" style="294" customWidth="1"/>
    <col min="8962" max="8962" width="17.26953125" style="294" customWidth="1"/>
    <col min="8963" max="8963" width="4.7265625" style="294" customWidth="1"/>
    <col min="8964" max="8964" width="15.54296875" style="294" customWidth="1"/>
    <col min="8965" max="8965" width="17.26953125" style="294" customWidth="1"/>
    <col min="8966" max="8966" width="4.26953125" style="294" customWidth="1"/>
    <col min="8967" max="8967" width="15.54296875" style="294" customWidth="1"/>
    <col min="8968" max="8968" width="17.26953125" style="294" customWidth="1"/>
    <col min="8969" max="9216" width="9.1796875" style="294"/>
    <col min="9217" max="9217" width="20.36328125" style="294" customWidth="1"/>
    <col min="9218" max="9218" width="17.26953125" style="294" customWidth="1"/>
    <col min="9219" max="9219" width="4.7265625" style="294" customWidth="1"/>
    <col min="9220" max="9220" width="15.54296875" style="294" customWidth="1"/>
    <col min="9221" max="9221" width="17.26953125" style="294" customWidth="1"/>
    <col min="9222" max="9222" width="4.26953125" style="294" customWidth="1"/>
    <col min="9223" max="9223" width="15.54296875" style="294" customWidth="1"/>
    <col min="9224" max="9224" width="17.26953125" style="294" customWidth="1"/>
    <col min="9225" max="9472" width="9.1796875" style="294"/>
    <col min="9473" max="9473" width="20.36328125" style="294" customWidth="1"/>
    <col min="9474" max="9474" width="17.26953125" style="294" customWidth="1"/>
    <col min="9475" max="9475" width="4.7265625" style="294" customWidth="1"/>
    <col min="9476" max="9476" width="15.54296875" style="294" customWidth="1"/>
    <col min="9477" max="9477" width="17.26953125" style="294" customWidth="1"/>
    <col min="9478" max="9478" width="4.26953125" style="294" customWidth="1"/>
    <col min="9479" max="9479" width="15.54296875" style="294" customWidth="1"/>
    <col min="9480" max="9480" width="17.26953125" style="294" customWidth="1"/>
    <col min="9481" max="9728" width="9.1796875" style="294"/>
    <col min="9729" max="9729" width="20.36328125" style="294" customWidth="1"/>
    <col min="9730" max="9730" width="17.26953125" style="294" customWidth="1"/>
    <col min="9731" max="9731" width="4.7265625" style="294" customWidth="1"/>
    <col min="9732" max="9732" width="15.54296875" style="294" customWidth="1"/>
    <col min="9733" max="9733" width="17.26953125" style="294" customWidth="1"/>
    <col min="9734" max="9734" width="4.26953125" style="294" customWidth="1"/>
    <col min="9735" max="9735" width="15.54296875" style="294" customWidth="1"/>
    <col min="9736" max="9736" width="17.26953125" style="294" customWidth="1"/>
    <col min="9737" max="9984" width="9.1796875" style="294"/>
    <col min="9985" max="9985" width="20.36328125" style="294" customWidth="1"/>
    <col min="9986" max="9986" width="17.26953125" style="294" customWidth="1"/>
    <col min="9987" max="9987" width="4.7265625" style="294" customWidth="1"/>
    <col min="9988" max="9988" width="15.54296875" style="294" customWidth="1"/>
    <col min="9989" max="9989" width="17.26953125" style="294" customWidth="1"/>
    <col min="9990" max="9990" width="4.26953125" style="294" customWidth="1"/>
    <col min="9991" max="9991" width="15.54296875" style="294" customWidth="1"/>
    <col min="9992" max="9992" width="17.26953125" style="294" customWidth="1"/>
    <col min="9993" max="10240" width="9.1796875" style="294"/>
    <col min="10241" max="10241" width="20.36328125" style="294" customWidth="1"/>
    <col min="10242" max="10242" width="17.26953125" style="294" customWidth="1"/>
    <col min="10243" max="10243" width="4.7265625" style="294" customWidth="1"/>
    <col min="10244" max="10244" width="15.54296875" style="294" customWidth="1"/>
    <col min="10245" max="10245" width="17.26953125" style="294" customWidth="1"/>
    <col min="10246" max="10246" width="4.26953125" style="294" customWidth="1"/>
    <col min="10247" max="10247" width="15.54296875" style="294" customWidth="1"/>
    <col min="10248" max="10248" width="17.26953125" style="294" customWidth="1"/>
    <col min="10249" max="10496" width="9.1796875" style="294"/>
    <col min="10497" max="10497" width="20.36328125" style="294" customWidth="1"/>
    <col min="10498" max="10498" width="17.26953125" style="294" customWidth="1"/>
    <col min="10499" max="10499" width="4.7265625" style="294" customWidth="1"/>
    <col min="10500" max="10500" width="15.54296875" style="294" customWidth="1"/>
    <col min="10501" max="10501" width="17.26953125" style="294" customWidth="1"/>
    <col min="10502" max="10502" width="4.26953125" style="294" customWidth="1"/>
    <col min="10503" max="10503" width="15.54296875" style="294" customWidth="1"/>
    <col min="10504" max="10504" width="17.26953125" style="294" customWidth="1"/>
    <col min="10505" max="10752" width="9.1796875" style="294"/>
    <col min="10753" max="10753" width="20.36328125" style="294" customWidth="1"/>
    <col min="10754" max="10754" width="17.26953125" style="294" customWidth="1"/>
    <col min="10755" max="10755" width="4.7265625" style="294" customWidth="1"/>
    <col min="10756" max="10756" width="15.54296875" style="294" customWidth="1"/>
    <col min="10757" max="10757" width="17.26953125" style="294" customWidth="1"/>
    <col min="10758" max="10758" width="4.26953125" style="294" customWidth="1"/>
    <col min="10759" max="10759" width="15.54296875" style="294" customWidth="1"/>
    <col min="10760" max="10760" width="17.26953125" style="294" customWidth="1"/>
    <col min="10761" max="11008" width="9.1796875" style="294"/>
    <col min="11009" max="11009" width="20.36328125" style="294" customWidth="1"/>
    <col min="11010" max="11010" width="17.26953125" style="294" customWidth="1"/>
    <col min="11011" max="11011" width="4.7265625" style="294" customWidth="1"/>
    <col min="11012" max="11012" width="15.54296875" style="294" customWidth="1"/>
    <col min="11013" max="11013" width="17.26953125" style="294" customWidth="1"/>
    <col min="11014" max="11014" width="4.26953125" style="294" customWidth="1"/>
    <col min="11015" max="11015" width="15.54296875" style="294" customWidth="1"/>
    <col min="11016" max="11016" width="17.26953125" style="294" customWidth="1"/>
    <col min="11017" max="11264" width="9.1796875" style="294"/>
    <col min="11265" max="11265" width="20.36328125" style="294" customWidth="1"/>
    <col min="11266" max="11266" width="17.26953125" style="294" customWidth="1"/>
    <col min="11267" max="11267" width="4.7265625" style="294" customWidth="1"/>
    <col min="11268" max="11268" width="15.54296875" style="294" customWidth="1"/>
    <col min="11269" max="11269" width="17.26953125" style="294" customWidth="1"/>
    <col min="11270" max="11270" width="4.26953125" style="294" customWidth="1"/>
    <col min="11271" max="11271" width="15.54296875" style="294" customWidth="1"/>
    <col min="11272" max="11272" width="17.26953125" style="294" customWidth="1"/>
    <col min="11273" max="11520" width="9.1796875" style="294"/>
    <col min="11521" max="11521" width="20.36328125" style="294" customWidth="1"/>
    <col min="11522" max="11522" width="17.26953125" style="294" customWidth="1"/>
    <col min="11523" max="11523" width="4.7265625" style="294" customWidth="1"/>
    <col min="11524" max="11524" width="15.54296875" style="294" customWidth="1"/>
    <col min="11525" max="11525" width="17.26953125" style="294" customWidth="1"/>
    <col min="11526" max="11526" width="4.26953125" style="294" customWidth="1"/>
    <col min="11527" max="11527" width="15.54296875" style="294" customWidth="1"/>
    <col min="11528" max="11528" width="17.26953125" style="294" customWidth="1"/>
    <col min="11529" max="11776" width="9.1796875" style="294"/>
    <col min="11777" max="11777" width="20.36328125" style="294" customWidth="1"/>
    <col min="11778" max="11778" width="17.26953125" style="294" customWidth="1"/>
    <col min="11779" max="11779" width="4.7265625" style="294" customWidth="1"/>
    <col min="11780" max="11780" width="15.54296875" style="294" customWidth="1"/>
    <col min="11781" max="11781" width="17.26953125" style="294" customWidth="1"/>
    <col min="11782" max="11782" width="4.26953125" style="294" customWidth="1"/>
    <col min="11783" max="11783" width="15.54296875" style="294" customWidth="1"/>
    <col min="11784" max="11784" width="17.26953125" style="294" customWidth="1"/>
    <col min="11785" max="12032" width="9.1796875" style="294"/>
    <col min="12033" max="12033" width="20.36328125" style="294" customWidth="1"/>
    <col min="12034" max="12034" width="17.26953125" style="294" customWidth="1"/>
    <col min="12035" max="12035" width="4.7265625" style="294" customWidth="1"/>
    <col min="12036" max="12036" width="15.54296875" style="294" customWidth="1"/>
    <col min="12037" max="12037" width="17.26953125" style="294" customWidth="1"/>
    <col min="12038" max="12038" width="4.26953125" style="294" customWidth="1"/>
    <col min="12039" max="12039" width="15.54296875" style="294" customWidth="1"/>
    <col min="12040" max="12040" width="17.26953125" style="294" customWidth="1"/>
    <col min="12041" max="12288" width="9.1796875" style="294"/>
    <col min="12289" max="12289" width="20.36328125" style="294" customWidth="1"/>
    <col min="12290" max="12290" width="17.26953125" style="294" customWidth="1"/>
    <col min="12291" max="12291" width="4.7265625" style="294" customWidth="1"/>
    <col min="12292" max="12292" width="15.54296875" style="294" customWidth="1"/>
    <col min="12293" max="12293" width="17.26953125" style="294" customWidth="1"/>
    <col min="12294" max="12294" width="4.26953125" style="294" customWidth="1"/>
    <col min="12295" max="12295" width="15.54296875" style="294" customWidth="1"/>
    <col min="12296" max="12296" width="17.26953125" style="294" customWidth="1"/>
    <col min="12297" max="12544" width="9.1796875" style="294"/>
    <col min="12545" max="12545" width="20.36328125" style="294" customWidth="1"/>
    <col min="12546" max="12546" width="17.26953125" style="294" customWidth="1"/>
    <col min="12547" max="12547" width="4.7265625" style="294" customWidth="1"/>
    <col min="12548" max="12548" width="15.54296875" style="294" customWidth="1"/>
    <col min="12549" max="12549" width="17.26953125" style="294" customWidth="1"/>
    <col min="12550" max="12550" width="4.26953125" style="294" customWidth="1"/>
    <col min="12551" max="12551" width="15.54296875" style="294" customWidth="1"/>
    <col min="12552" max="12552" width="17.26953125" style="294" customWidth="1"/>
    <col min="12553" max="12800" width="9.1796875" style="294"/>
    <col min="12801" max="12801" width="20.36328125" style="294" customWidth="1"/>
    <col min="12802" max="12802" width="17.26953125" style="294" customWidth="1"/>
    <col min="12803" max="12803" width="4.7265625" style="294" customWidth="1"/>
    <col min="12804" max="12804" width="15.54296875" style="294" customWidth="1"/>
    <col min="12805" max="12805" width="17.26953125" style="294" customWidth="1"/>
    <col min="12806" max="12806" width="4.26953125" style="294" customWidth="1"/>
    <col min="12807" max="12807" width="15.54296875" style="294" customWidth="1"/>
    <col min="12808" max="12808" width="17.26953125" style="294" customWidth="1"/>
    <col min="12809" max="13056" width="9.1796875" style="294"/>
    <col min="13057" max="13057" width="20.36328125" style="294" customWidth="1"/>
    <col min="13058" max="13058" width="17.26953125" style="294" customWidth="1"/>
    <col min="13059" max="13059" width="4.7265625" style="294" customWidth="1"/>
    <col min="13060" max="13060" width="15.54296875" style="294" customWidth="1"/>
    <col min="13061" max="13061" width="17.26953125" style="294" customWidth="1"/>
    <col min="13062" max="13062" width="4.26953125" style="294" customWidth="1"/>
    <col min="13063" max="13063" width="15.54296875" style="294" customWidth="1"/>
    <col min="13064" max="13064" width="17.26953125" style="294" customWidth="1"/>
    <col min="13065" max="13312" width="9.1796875" style="294"/>
    <col min="13313" max="13313" width="20.36328125" style="294" customWidth="1"/>
    <col min="13314" max="13314" width="17.26953125" style="294" customWidth="1"/>
    <col min="13315" max="13315" width="4.7265625" style="294" customWidth="1"/>
    <col min="13316" max="13316" width="15.54296875" style="294" customWidth="1"/>
    <col min="13317" max="13317" width="17.26953125" style="294" customWidth="1"/>
    <col min="13318" max="13318" width="4.26953125" style="294" customWidth="1"/>
    <col min="13319" max="13319" width="15.54296875" style="294" customWidth="1"/>
    <col min="13320" max="13320" width="17.26953125" style="294" customWidth="1"/>
    <col min="13321" max="13568" width="9.1796875" style="294"/>
    <col min="13569" max="13569" width="20.36328125" style="294" customWidth="1"/>
    <col min="13570" max="13570" width="17.26953125" style="294" customWidth="1"/>
    <col min="13571" max="13571" width="4.7265625" style="294" customWidth="1"/>
    <col min="13572" max="13572" width="15.54296875" style="294" customWidth="1"/>
    <col min="13573" max="13573" width="17.26953125" style="294" customWidth="1"/>
    <col min="13574" max="13574" width="4.26953125" style="294" customWidth="1"/>
    <col min="13575" max="13575" width="15.54296875" style="294" customWidth="1"/>
    <col min="13576" max="13576" width="17.26953125" style="294" customWidth="1"/>
    <col min="13577" max="13824" width="9.1796875" style="294"/>
    <col min="13825" max="13825" width="20.36328125" style="294" customWidth="1"/>
    <col min="13826" max="13826" width="17.26953125" style="294" customWidth="1"/>
    <col min="13827" max="13827" width="4.7265625" style="294" customWidth="1"/>
    <col min="13828" max="13828" width="15.54296875" style="294" customWidth="1"/>
    <col min="13829" max="13829" width="17.26953125" style="294" customWidth="1"/>
    <col min="13830" max="13830" width="4.26953125" style="294" customWidth="1"/>
    <col min="13831" max="13831" width="15.54296875" style="294" customWidth="1"/>
    <col min="13832" max="13832" width="17.26953125" style="294" customWidth="1"/>
    <col min="13833" max="14080" width="9.1796875" style="294"/>
    <col min="14081" max="14081" width="20.36328125" style="294" customWidth="1"/>
    <col min="14082" max="14082" width="17.26953125" style="294" customWidth="1"/>
    <col min="14083" max="14083" width="4.7265625" style="294" customWidth="1"/>
    <col min="14084" max="14084" width="15.54296875" style="294" customWidth="1"/>
    <col min="14085" max="14085" width="17.26953125" style="294" customWidth="1"/>
    <col min="14086" max="14086" width="4.26953125" style="294" customWidth="1"/>
    <col min="14087" max="14087" width="15.54296875" style="294" customWidth="1"/>
    <col min="14088" max="14088" width="17.26953125" style="294" customWidth="1"/>
    <col min="14089" max="14336" width="9.1796875" style="294"/>
    <col min="14337" max="14337" width="20.36328125" style="294" customWidth="1"/>
    <col min="14338" max="14338" width="17.26953125" style="294" customWidth="1"/>
    <col min="14339" max="14339" width="4.7265625" style="294" customWidth="1"/>
    <col min="14340" max="14340" width="15.54296875" style="294" customWidth="1"/>
    <col min="14341" max="14341" width="17.26953125" style="294" customWidth="1"/>
    <col min="14342" max="14342" width="4.26953125" style="294" customWidth="1"/>
    <col min="14343" max="14343" width="15.54296875" style="294" customWidth="1"/>
    <col min="14344" max="14344" width="17.26953125" style="294" customWidth="1"/>
    <col min="14345" max="14592" width="9.1796875" style="294"/>
    <col min="14593" max="14593" width="20.36328125" style="294" customWidth="1"/>
    <col min="14594" max="14594" width="17.26953125" style="294" customWidth="1"/>
    <col min="14595" max="14595" width="4.7265625" style="294" customWidth="1"/>
    <col min="14596" max="14596" width="15.54296875" style="294" customWidth="1"/>
    <col min="14597" max="14597" width="17.26953125" style="294" customWidth="1"/>
    <col min="14598" max="14598" width="4.26953125" style="294" customWidth="1"/>
    <col min="14599" max="14599" width="15.54296875" style="294" customWidth="1"/>
    <col min="14600" max="14600" width="17.26953125" style="294" customWidth="1"/>
    <col min="14601" max="14848" width="9.1796875" style="294"/>
    <col min="14849" max="14849" width="20.36328125" style="294" customWidth="1"/>
    <col min="14850" max="14850" width="17.26953125" style="294" customWidth="1"/>
    <col min="14851" max="14851" width="4.7265625" style="294" customWidth="1"/>
    <col min="14852" max="14852" width="15.54296875" style="294" customWidth="1"/>
    <col min="14853" max="14853" width="17.26953125" style="294" customWidth="1"/>
    <col min="14854" max="14854" width="4.26953125" style="294" customWidth="1"/>
    <col min="14855" max="14855" width="15.54296875" style="294" customWidth="1"/>
    <col min="14856" max="14856" width="17.26953125" style="294" customWidth="1"/>
    <col min="14857" max="15104" width="9.1796875" style="294"/>
    <col min="15105" max="15105" width="20.36328125" style="294" customWidth="1"/>
    <col min="15106" max="15106" width="17.26953125" style="294" customWidth="1"/>
    <col min="15107" max="15107" width="4.7265625" style="294" customWidth="1"/>
    <col min="15108" max="15108" width="15.54296875" style="294" customWidth="1"/>
    <col min="15109" max="15109" width="17.26953125" style="294" customWidth="1"/>
    <col min="15110" max="15110" width="4.26953125" style="294" customWidth="1"/>
    <col min="15111" max="15111" width="15.54296875" style="294" customWidth="1"/>
    <col min="15112" max="15112" width="17.26953125" style="294" customWidth="1"/>
    <col min="15113" max="15360" width="9.1796875" style="294"/>
    <col min="15361" max="15361" width="20.36328125" style="294" customWidth="1"/>
    <col min="15362" max="15362" width="17.26953125" style="294" customWidth="1"/>
    <col min="15363" max="15363" width="4.7265625" style="294" customWidth="1"/>
    <col min="15364" max="15364" width="15.54296875" style="294" customWidth="1"/>
    <col min="15365" max="15365" width="17.26953125" style="294" customWidth="1"/>
    <col min="15366" max="15366" width="4.26953125" style="294" customWidth="1"/>
    <col min="15367" max="15367" width="15.54296875" style="294" customWidth="1"/>
    <col min="15368" max="15368" width="17.26953125" style="294" customWidth="1"/>
    <col min="15369" max="15616" width="9.1796875" style="294"/>
    <col min="15617" max="15617" width="20.36328125" style="294" customWidth="1"/>
    <col min="15618" max="15618" width="17.26953125" style="294" customWidth="1"/>
    <col min="15619" max="15619" width="4.7265625" style="294" customWidth="1"/>
    <col min="15620" max="15620" width="15.54296875" style="294" customWidth="1"/>
    <col min="15621" max="15621" width="17.26953125" style="294" customWidth="1"/>
    <col min="15622" max="15622" width="4.26953125" style="294" customWidth="1"/>
    <col min="15623" max="15623" width="15.54296875" style="294" customWidth="1"/>
    <col min="15624" max="15624" width="17.26953125" style="294" customWidth="1"/>
    <col min="15625" max="15872" width="9.1796875" style="294"/>
    <col min="15873" max="15873" width="20.36328125" style="294" customWidth="1"/>
    <col min="15874" max="15874" width="17.26953125" style="294" customWidth="1"/>
    <col min="15875" max="15875" width="4.7265625" style="294" customWidth="1"/>
    <col min="15876" max="15876" width="15.54296875" style="294" customWidth="1"/>
    <col min="15877" max="15877" width="17.26953125" style="294" customWidth="1"/>
    <col min="15878" max="15878" width="4.26953125" style="294" customWidth="1"/>
    <col min="15879" max="15879" width="15.54296875" style="294" customWidth="1"/>
    <col min="15880" max="15880" width="17.26953125" style="294" customWidth="1"/>
    <col min="15881" max="16128" width="9.1796875" style="294"/>
    <col min="16129" max="16129" width="20.36328125" style="294" customWidth="1"/>
    <col min="16130" max="16130" width="17.26953125" style="294" customWidth="1"/>
    <col min="16131" max="16131" width="4.7265625" style="294" customWidth="1"/>
    <col min="16132" max="16132" width="15.54296875" style="294" customWidth="1"/>
    <col min="16133" max="16133" width="17.26953125" style="294" customWidth="1"/>
    <col min="16134" max="16134" width="4.26953125" style="294" customWidth="1"/>
    <col min="16135" max="16135" width="15.54296875" style="294" customWidth="1"/>
    <col min="16136" max="16136" width="17.26953125" style="294" customWidth="1"/>
    <col min="16137" max="16384" width="9.1796875" style="294"/>
  </cols>
  <sheetData>
    <row r="1" spans="1:22" x14ac:dyDescent="0.3">
      <c r="A1" s="5" t="s">
        <v>252</v>
      </c>
    </row>
    <row r="2" spans="1:22" x14ac:dyDescent="0.3">
      <c r="A2" s="5"/>
    </row>
    <row r="3" spans="1:22" x14ac:dyDescent="0.3">
      <c r="A3" s="345" t="s">
        <v>253</v>
      </c>
      <c r="B3" s="345"/>
      <c r="C3" s="295"/>
      <c r="D3" s="345" t="s">
        <v>254</v>
      </c>
      <c r="E3" s="345"/>
      <c r="F3" s="295"/>
      <c r="G3" s="345" t="s">
        <v>255</v>
      </c>
      <c r="H3" s="345"/>
    </row>
    <row r="4" spans="1:22" x14ac:dyDescent="0.3">
      <c r="A4" s="296"/>
      <c r="B4" s="297"/>
    </row>
    <row r="5" spans="1:22" x14ac:dyDescent="0.3">
      <c r="A5" s="298" t="s">
        <v>256</v>
      </c>
      <c r="B5" s="299" t="s">
        <v>230</v>
      </c>
      <c r="C5" s="300"/>
      <c r="D5" s="298" t="s">
        <v>256</v>
      </c>
      <c r="E5" s="299" t="s">
        <v>230</v>
      </c>
      <c r="F5" s="300"/>
      <c r="G5" s="298" t="s">
        <v>256</v>
      </c>
      <c r="H5" s="299" t="s">
        <v>230</v>
      </c>
    </row>
    <row r="6" spans="1:22" x14ac:dyDescent="0.3">
      <c r="A6" s="301"/>
      <c r="D6" s="301"/>
      <c r="G6" s="301"/>
    </row>
    <row r="7" spans="1:22" x14ac:dyDescent="0.3">
      <c r="A7" s="248" t="s">
        <v>257</v>
      </c>
      <c r="B7" s="263">
        <v>14017615</v>
      </c>
      <c r="C7" s="302"/>
      <c r="D7" s="248" t="s">
        <v>258</v>
      </c>
      <c r="E7" s="263">
        <v>622411</v>
      </c>
      <c r="F7" s="292"/>
      <c r="G7" s="248" t="s">
        <v>258</v>
      </c>
      <c r="H7" s="303">
        <v>678871</v>
      </c>
      <c r="I7" s="304"/>
      <c r="J7" s="305"/>
      <c r="K7" s="304"/>
      <c r="L7" s="305"/>
      <c r="M7" s="304"/>
      <c r="N7" s="305"/>
      <c r="O7" s="304"/>
      <c r="P7" s="305"/>
      <c r="Q7" s="304"/>
      <c r="R7" s="305"/>
      <c r="S7" s="304"/>
      <c r="T7" s="305"/>
      <c r="U7" s="304"/>
      <c r="V7" s="305"/>
    </row>
    <row r="8" spans="1:22" x14ac:dyDescent="0.3">
      <c r="A8" s="167" t="s">
        <v>258</v>
      </c>
      <c r="B8" s="261">
        <v>5142201</v>
      </c>
      <c r="C8" s="302"/>
      <c r="D8" s="167" t="s">
        <v>259</v>
      </c>
      <c r="E8" s="261">
        <v>247742</v>
      </c>
      <c r="F8" s="292"/>
      <c r="G8" s="167" t="s">
        <v>260</v>
      </c>
      <c r="H8" s="306">
        <v>184618</v>
      </c>
      <c r="I8" s="304"/>
      <c r="J8" s="305"/>
      <c r="K8" s="304"/>
      <c r="L8" s="305"/>
      <c r="M8" s="304"/>
      <c r="N8" s="305"/>
      <c r="O8" s="304"/>
      <c r="P8" s="305"/>
      <c r="Q8" s="304"/>
      <c r="R8" s="305"/>
      <c r="S8" s="304"/>
      <c r="T8" s="305"/>
      <c r="U8" s="304"/>
      <c r="V8" s="305"/>
    </row>
    <row r="9" spans="1:22" x14ac:dyDescent="0.3">
      <c r="A9" s="248" t="s">
        <v>261</v>
      </c>
      <c r="B9" s="263">
        <v>4852639</v>
      </c>
      <c r="C9" s="302"/>
      <c r="D9" s="248" t="s">
        <v>262</v>
      </c>
      <c r="E9" s="263">
        <v>222308</v>
      </c>
      <c r="F9" s="292"/>
      <c r="G9" s="248" t="s">
        <v>259</v>
      </c>
      <c r="H9" s="303">
        <v>70139</v>
      </c>
      <c r="I9" s="304"/>
      <c r="J9" s="305"/>
      <c r="K9" s="304"/>
      <c r="L9" s="305"/>
      <c r="M9" s="304"/>
      <c r="N9" s="305"/>
      <c r="O9" s="304"/>
      <c r="P9" s="305"/>
      <c r="Q9" s="304"/>
      <c r="R9" s="305"/>
      <c r="S9" s="304"/>
      <c r="T9" s="305"/>
      <c r="U9" s="304"/>
      <c r="V9" s="305"/>
    </row>
    <row r="10" spans="1:22" x14ac:dyDescent="0.3">
      <c r="A10" s="248" t="s">
        <v>263</v>
      </c>
      <c r="B10" s="263">
        <v>3947678</v>
      </c>
      <c r="C10" s="302"/>
      <c r="D10" s="167" t="s">
        <v>261</v>
      </c>
      <c r="E10" s="261">
        <v>174676</v>
      </c>
      <c r="F10" s="292"/>
      <c r="G10" s="167" t="s">
        <v>264</v>
      </c>
      <c r="H10" s="306">
        <v>47537</v>
      </c>
      <c r="I10" s="304"/>
      <c r="J10" s="305"/>
      <c r="K10" s="304"/>
      <c r="L10" s="305"/>
      <c r="M10" s="304"/>
      <c r="N10" s="305"/>
      <c r="O10" s="304"/>
      <c r="P10" s="305"/>
      <c r="Q10" s="304"/>
      <c r="R10" s="305"/>
      <c r="S10" s="304"/>
      <c r="T10" s="305"/>
      <c r="U10" s="304"/>
      <c r="V10" s="305"/>
    </row>
    <row r="11" spans="1:22" x14ac:dyDescent="0.3">
      <c r="A11" s="167" t="s">
        <v>265</v>
      </c>
      <c r="B11" s="261">
        <v>3905671</v>
      </c>
      <c r="C11" s="302"/>
      <c r="D11" s="248" t="s">
        <v>266</v>
      </c>
      <c r="E11" s="263">
        <v>135530</v>
      </c>
      <c r="F11" s="292"/>
      <c r="G11" s="248" t="s">
        <v>267</v>
      </c>
      <c r="H11" s="303">
        <v>20970</v>
      </c>
      <c r="I11" s="304"/>
      <c r="J11" s="305"/>
      <c r="K11" s="304"/>
      <c r="L11" s="305"/>
      <c r="M11" s="304"/>
      <c r="N11" s="305"/>
      <c r="O11" s="304"/>
      <c r="P11" s="305"/>
      <c r="Q11" s="304"/>
      <c r="R11" s="305"/>
      <c r="S11" s="304"/>
      <c r="T11" s="305"/>
      <c r="U11" s="304"/>
      <c r="V11" s="305"/>
    </row>
    <row r="12" spans="1:22" x14ac:dyDescent="0.3">
      <c r="A12" s="167" t="s">
        <v>268</v>
      </c>
      <c r="B12" s="261">
        <v>1763221</v>
      </c>
      <c r="C12" s="302"/>
      <c r="D12" s="167" t="s">
        <v>267</v>
      </c>
      <c r="E12" s="261">
        <v>112361</v>
      </c>
      <c r="F12" s="292"/>
      <c r="G12" s="167" t="s">
        <v>265</v>
      </c>
      <c r="H12" s="306">
        <v>19779</v>
      </c>
      <c r="I12" s="304"/>
      <c r="J12" s="305"/>
      <c r="K12" s="304"/>
      <c r="L12" s="305"/>
      <c r="M12" s="304"/>
      <c r="N12" s="305"/>
      <c r="O12" s="304"/>
      <c r="P12" s="305"/>
      <c r="Q12" s="304"/>
      <c r="R12" s="305"/>
      <c r="S12" s="304"/>
      <c r="T12" s="305"/>
      <c r="U12" s="304"/>
      <c r="V12" s="305"/>
    </row>
    <row r="13" spans="1:22" x14ac:dyDescent="0.3">
      <c r="A13" s="167" t="s">
        <v>269</v>
      </c>
      <c r="B13" s="261">
        <v>1662163</v>
      </c>
      <c r="C13" s="302"/>
      <c r="D13" s="248" t="s">
        <v>270</v>
      </c>
      <c r="E13" s="263">
        <v>83124</v>
      </c>
      <c r="F13" s="292"/>
      <c r="G13" s="248" t="s">
        <v>271</v>
      </c>
      <c r="H13" s="303">
        <v>12180</v>
      </c>
      <c r="I13" s="304"/>
      <c r="J13" s="305"/>
      <c r="K13" s="304"/>
      <c r="L13" s="305"/>
      <c r="M13" s="304"/>
      <c r="N13" s="305"/>
      <c r="O13" s="304"/>
      <c r="P13" s="305"/>
      <c r="Q13" s="304"/>
      <c r="R13" s="305"/>
      <c r="S13" s="304"/>
      <c r="T13" s="305"/>
      <c r="U13" s="304"/>
      <c r="V13" s="305"/>
    </row>
    <row r="14" spans="1:22" x14ac:dyDescent="0.3">
      <c r="A14" s="167"/>
      <c r="B14" s="261"/>
      <c r="C14" s="302"/>
      <c r="D14" s="167" t="s">
        <v>260</v>
      </c>
      <c r="E14" s="261">
        <v>54609</v>
      </c>
      <c r="F14" s="292"/>
      <c r="G14" s="167" t="s">
        <v>272</v>
      </c>
      <c r="H14" s="306">
        <v>10048</v>
      </c>
      <c r="I14" s="304"/>
      <c r="J14" s="305"/>
      <c r="K14" s="304"/>
      <c r="L14" s="305"/>
      <c r="M14" s="304"/>
      <c r="N14" s="305"/>
      <c r="O14" s="304"/>
      <c r="P14" s="305"/>
      <c r="Q14" s="304"/>
      <c r="R14" s="305"/>
      <c r="S14" s="304"/>
      <c r="T14" s="305"/>
      <c r="U14" s="304"/>
      <c r="V14" s="305"/>
    </row>
    <row r="15" spans="1:22" x14ac:dyDescent="0.3">
      <c r="A15" s="167" t="s">
        <v>259</v>
      </c>
      <c r="B15" s="261">
        <v>1690203</v>
      </c>
      <c r="C15" s="302"/>
      <c r="D15" s="248" t="s">
        <v>263</v>
      </c>
      <c r="E15" s="263">
        <v>49984</v>
      </c>
      <c r="F15" s="292"/>
      <c r="G15" s="248" t="s">
        <v>273</v>
      </c>
      <c r="H15" s="263">
        <v>1345</v>
      </c>
      <c r="I15" s="304"/>
      <c r="J15" s="305"/>
      <c r="K15" s="304"/>
      <c r="L15" s="305"/>
      <c r="M15" s="304"/>
      <c r="N15" s="305"/>
      <c r="O15" s="304"/>
      <c r="P15" s="305"/>
      <c r="Q15" s="304"/>
      <c r="R15" s="305"/>
      <c r="S15" s="304"/>
      <c r="T15" s="305"/>
      <c r="U15" s="304"/>
      <c r="V15" s="305"/>
    </row>
    <row r="16" spans="1:22" x14ac:dyDescent="0.3">
      <c r="A16" s="248" t="s">
        <v>271</v>
      </c>
      <c r="B16" s="263">
        <v>1140453</v>
      </c>
      <c r="C16" s="302"/>
      <c r="D16" s="167" t="s">
        <v>274</v>
      </c>
      <c r="E16" s="261">
        <v>35281</v>
      </c>
      <c r="F16" s="292"/>
      <c r="G16" s="167" t="s">
        <v>263</v>
      </c>
      <c r="H16" s="261">
        <v>456</v>
      </c>
      <c r="I16" s="304"/>
      <c r="J16" s="305"/>
      <c r="K16" s="304"/>
      <c r="L16" s="305"/>
      <c r="M16" s="304"/>
      <c r="N16" s="305"/>
      <c r="O16" s="304"/>
      <c r="P16" s="305"/>
      <c r="Q16" s="304"/>
      <c r="R16" s="305"/>
      <c r="S16" s="304"/>
      <c r="T16" s="305"/>
      <c r="U16" s="304"/>
      <c r="V16" s="305"/>
    </row>
    <row r="17" spans="1:22" x14ac:dyDescent="0.3">
      <c r="A17" s="167" t="s">
        <v>275</v>
      </c>
      <c r="B17" s="261">
        <v>1074029</v>
      </c>
      <c r="C17" s="302"/>
      <c r="D17" s="248" t="s">
        <v>276</v>
      </c>
      <c r="E17" s="263">
        <v>29373</v>
      </c>
      <c r="F17" s="292"/>
      <c r="G17" s="248" t="s">
        <v>277</v>
      </c>
      <c r="H17" s="263">
        <v>90</v>
      </c>
      <c r="I17" s="304"/>
      <c r="J17" s="305"/>
      <c r="K17" s="304"/>
      <c r="L17" s="305"/>
      <c r="M17" s="304"/>
      <c r="N17" s="305"/>
      <c r="O17" s="304"/>
      <c r="P17" s="305"/>
      <c r="Q17" s="304"/>
      <c r="R17" s="305"/>
      <c r="S17" s="304"/>
      <c r="T17" s="305"/>
      <c r="U17" s="304"/>
      <c r="V17" s="305"/>
    </row>
    <row r="18" spans="1:22" x14ac:dyDescent="0.3">
      <c r="A18" s="167" t="s">
        <v>274</v>
      </c>
      <c r="B18" s="261">
        <v>763087</v>
      </c>
      <c r="C18" s="302"/>
      <c r="D18" s="167" t="s">
        <v>278</v>
      </c>
      <c r="E18" s="261">
        <v>28832</v>
      </c>
      <c r="F18" s="292"/>
      <c r="G18" s="167" t="s">
        <v>269</v>
      </c>
      <c r="H18" s="261">
        <v>68</v>
      </c>
      <c r="I18" s="304"/>
      <c r="J18" s="305"/>
      <c r="K18" s="304"/>
      <c r="L18" s="305"/>
      <c r="M18" s="304"/>
      <c r="N18" s="305"/>
      <c r="O18" s="304"/>
      <c r="P18" s="305"/>
      <c r="Q18" s="304"/>
      <c r="R18" s="305"/>
      <c r="S18" s="304"/>
      <c r="T18" s="305"/>
      <c r="U18" s="304"/>
      <c r="V18" s="305"/>
    </row>
    <row r="19" spans="1:22" ht="21" x14ac:dyDescent="0.3">
      <c r="A19" s="167" t="s">
        <v>279</v>
      </c>
      <c r="B19" s="261">
        <v>691173</v>
      </c>
      <c r="C19" s="302"/>
      <c r="D19" s="248" t="s">
        <v>280</v>
      </c>
      <c r="E19" s="263">
        <v>28595</v>
      </c>
      <c r="F19" s="292"/>
      <c r="G19" s="307" t="s">
        <v>281</v>
      </c>
      <c r="H19" s="261">
        <f>H21-SUM(H7:H18)</f>
        <v>148</v>
      </c>
      <c r="I19" s="304"/>
      <c r="J19" s="305"/>
      <c r="K19" s="304"/>
      <c r="L19" s="305"/>
      <c r="M19" s="304"/>
      <c r="N19" s="305"/>
      <c r="O19" s="304"/>
      <c r="P19" s="305"/>
      <c r="Q19" s="304"/>
      <c r="R19" s="305"/>
      <c r="S19" s="304"/>
      <c r="T19" s="305"/>
      <c r="U19" s="304"/>
      <c r="V19" s="305"/>
    </row>
    <row r="20" spans="1:22" x14ac:dyDescent="0.3">
      <c r="A20" s="248" t="s">
        <v>282</v>
      </c>
      <c r="B20" s="263">
        <v>642119</v>
      </c>
      <c r="C20" s="302"/>
      <c r="D20" s="167" t="s">
        <v>273</v>
      </c>
      <c r="E20" s="261">
        <v>21585</v>
      </c>
      <c r="F20" s="292"/>
      <c r="G20" s="307"/>
      <c r="H20" s="261"/>
      <c r="I20" s="304"/>
      <c r="J20" s="305"/>
      <c r="K20" s="304"/>
      <c r="L20" s="305"/>
      <c r="M20" s="304"/>
      <c r="N20" s="305"/>
      <c r="O20" s="304"/>
      <c r="P20" s="305"/>
      <c r="Q20" s="304"/>
      <c r="R20" s="305"/>
      <c r="S20" s="304"/>
      <c r="T20" s="305"/>
      <c r="U20" s="304"/>
      <c r="V20" s="305"/>
    </row>
    <row r="21" spans="1:22" x14ac:dyDescent="0.3">
      <c r="A21" s="248" t="s">
        <v>260</v>
      </c>
      <c r="B21" s="263">
        <v>637533</v>
      </c>
      <c r="C21" s="302"/>
      <c r="D21" s="248" t="s">
        <v>283</v>
      </c>
      <c r="E21" s="263">
        <v>21218</v>
      </c>
      <c r="F21" s="292"/>
      <c r="G21" s="279" t="s">
        <v>247</v>
      </c>
      <c r="H21" s="280">
        <v>1046249</v>
      </c>
      <c r="I21" s="304"/>
      <c r="J21" s="305"/>
      <c r="K21" s="304"/>
      <c r="L21" s="305"/>
      <c r="M21" s="304"/>
      <c r="N21" s="305"/>
      <c r="O21" s="304"/>
      <c r="P21" s="305"/>
      <c r="Q21" s="304"/>
      <c r="R21" s="305"/>
      <c r="S21" s="304"/>
      <c r="T21" s="305"/>
      <c r="U21" s="304"/>
      <c r="V21" s="305"/>
    </row>
    <row r="22" spans="1:22" x14ac:dyDescent="0.3">
      <c r="A22" s="167" t="s">
        <v>116</v>
      </c>
      <c r="B22" s="261">
        <v>586342</v>
      </c>
      <c r="C22" s="302"/>
      <c r="D22" s="167" t="s">
        <v>284</v>
      </c>
      <c r="E22" s="261">
        <v>20579</v>
      </c>
      <c r="F22" s="292"/>
      <c r="G22" s="308"/>
      <c r="H22" s="308"/>
      <c r="I22" s="304"/>
      <c r="J22" s="305"/>
      <c r="K22" s="304"/>
      <c r="L22" s="305"/>
      <c r="M22" s="304"/>
      <c r="N22" s="305"/>
      <c r="O22" s="304"/>
      <c r="P22" s="305"/>
      <c r="Q22" s="304"/>
      <c r="R22" s="305"/>
      <c r="S22" s="304"/>
      <c r="T22" s="305"/>
      <c r="U22" s="304"/>
      <c r="V22" s="305"/>
    </row>
    <row r="23" spans="1:22" x14ac:dyDescent="0.3">
      <c r="A23" s="248" t="s">
        <v>285</v>
      </c>
      <c r="B23" s="263">
        <v>525841</v>
      </c>
      <c r="C23" s="302"/>
      <c r="D23" s="248" t="s">
        <v>286</v>
      </c>
      <c r="E23" s="263">
        <v>19490</v>
      </c>
      <c r="F23" s="292"/>
      <c r="G23" s="308"/>
      <c r="H23" s="308"/>
      <c r="I23" s="304"/>
      <c r="J23" s="305"/>
      <c r="K23" s="304"/>
      <c r="L23" s="305"/>
      <c r="M23" s="304"/>
      <c r="N23" s="305"/>
      <c r="O23" s="304"/>
      <c r="P23" s="305"/>
      <c r="Q23" s="304"/>
      <c r="R23" s="305"/>
      <c r="S23" s="304"/>
      <c r="T23" s="305"/>
      <c r="U23" s="304"/>
      <c r="V23" s="305"/>
    </row>
    <row r="24" spans="1:22" x14ac:dyDescent="0.3">
      <c r="A24" s="167" t="s">
        <v>267</v>
      </c>
      <c r="B24" s="261">
        <v>492456</v>
      </c>
      <c r="C24" s="302"/>
      <c r="D24" s="167" t="s">
        <v>257</v>
      </c>
      <c r="E24" s="261">
        <v>9912</v>
      </c>
      <c r="F24" s="292"/>
      <c r="G24" s="308"/>
      <c r="H24" s="308"/>
      <c r="I24" s="304"/>
      <c r="J24" s="305"/>
      <c r="K24" s="304"/>
      <c r="L24" s="305"/>
      <c r="M24" s="304"/>
      <c r="N24" s="305"/>
      <c r="O24" s="304"/>
      <c r="P24" s="305"/>
      <c r="Q24" s="304"/>
      <c r="R24" s="305"/>
      <c r="S24" s="304"/>
      <c r="T24" s="305"/>
      <c r="U24" s="304"/>
      <c r="V24" s="305"/>
    </row>
    <row r="25" spans="1:22" ht="12.75" customHeight="1" x14ac:dyDescent="0.3">
      <c r="A25" s="248" t="s">
        <v>287</v>
      </c>
      <c r="B25" s="263">
        <v>485643</v>
      </c>
      <c r="C25" s="302"/>
      <c r="D25" s="248" t="s">
        <v>277</v>
      </c>
      <c r="E25" s="202">
        <v>6387</v>
      </c>
      <c r="F25" s="292"/>
      <c r="G25" s="308"/>
      <c r="H25" s="308"/>
      <c r="I25" s="304"/>
      <c r="J25" s="305"/>
      <c r="K25" s="304"/>
      <c r="L25" s="305"/>
      <c r="M25" s="304"/>
      <c r="N25" s="305"/>
      <c r="O25" s="304"/>
      <c r="P25" s="305"/>
      <c r="Q25" s="304"/>
      <c r="R25" s="305"/>
      <c r="S25" s="304"/>
      <c r="T25" s="305"/>
      <c r="U25" s="304"/>
      <c r="V25" s="305"/>
    </row>
    <row r="26" spans="1:22" x14ac:dyDescent="0.3">
      <c r="A26" s="167" t="s">
        <v>278</v>
      </c>
      <c r="B26" s="261">
        <v>480964</v>
      </c>
      <c r="C26" s="302"/>
      <c r="D26" s="167" t="s">
        <v>288</v>
      </c>
      <c r="E26" s="155">
        <v>4437</v>
      </c>
      <c r="F26" s="292"/>
      <c r="G26" s="308"/>
      <c r="H26" s="308"/>
      <c r="I26" s="304"/>
      <c r="J26" s="305"/>
      <c r="K26" s="304"/>
      <c r="L26" s="305"/>
      <c r="M26" s="304"/>
      <c r="N26" s="305"/>
      <c r="O26" s="304"/>
      <c r="P26" s="305"/>
      <c r="Q26" s="304"/>
      <c r="R26" s="305"/>
      <c r="S26" s="304"/>
      <c r="T26" s="305"/>
      <c r="U26" s="304"/>
      <c r="V26" s="305"/>
    </row>
    <row r="27" spans="1:22" x14ac:dyDescent="0.3">
      <c r="A27" s="248" t="s">
        <v>115</v>
      </c>
      <c r="B27" s="263">
        <v>449699</v>
      </c>
      <c r="C27" s="302"/>
      <c r="D27" s="248" t="s">
        <v>289</v>
      </c>
      <c r="E27" s="202">
        <v>1378</v>
      </c>
      <c r="F27" s="292"/>
      <c r="G27" s="308"/>
      <c r="H27" s="308"/>
      <c r="I27" s="304"/>
      <c r="J27" s="305"/>
      <c r="K27" s="304"/>
      <c r="L27" s="305"/>
      <c r="M27" s="304"/>
      <c r="N27" s="305"/>
      <c r="O27" s="304"/>
      <c r="P27" s="305"/>
      <c r="Q27" s="304"/>
      <c r="R27" s="305"/>
      <c r="S27" s="304"/>
      <c r="T27" s="305"/>
      <c r="U27" s="304"/>
      <c r="V27" s="305"/>
    </row>
    <row r="28" spans="1:22" x14ac:dyDescent="0.3">
      <c r="A28" s="167" t="s">
        <v>277</v>
      </c>
      <c r="B28" s="261">
        <v>440498</v>
      </c>
      <c r="C28" s="302"/>
      <c r="D28" s="167" t="s">
        <v>290</v>
      </c>
      <c r="E28" s="155">
        <v>1042</v>
      </c>
      <c r="F28" s="292"/>
      <c r="G28" s="308"/>
      <c r="H28" s="308"/>
      <c r="I28" s="304"/>
      <c r="J28" s="305"/>
      <c r="K28" s="304"/>
      <c r="L28" s="305"/>
      <c r="M28" s="304"/>
      <c r="N28" s="305"/>
      <c r="O28" s="304"/>
      <c r="P28" s="305"/>
      <c r="Q28" s="304"/>
      <c r="R28" s="305"/>
      <c r="S28" s="304"/>
      <c r="T28" s="305"/>
      <c r="U28" s="304"/>
      <c r="V28" s="305"/>
    </row>
    <row r="29" spans="1:22" x14ac:dyDescent="0.3">
      <c r="A29" s="248" t="s">
        <v>283</v>
      </c>
      <c r="B29" s="263">
        <v>432524</v>
      </c>
      <c r="C29" s="302"/>
      <c r="D29" s="248" t="s">
        <v>269</v>
      </c>
      <c r="E29" s="263">
        <v>664</v>
      </c>
      <c r="F29" s="292"/>
      <c r="G29" s="308"/>
      <c r="H29" s="308"/>
      <c r="I29" s="304"/>
      <c r="J29" s="305"/>
      <c r="K29" s="304"/>
      <c r="L29" s="305"/>
      <c r="M29" s="304"/>
      <c r="N29" s="305"/>
      <c r="O29" s="304"/>
      <c r="P29" s="305"/>
      <c r="Q29" s="304"/>
      <c r="R29" s="305"/>
      <c r="S29" s="304"/>
      <c r="T29" s="305"/>
      <c r="U29" s="304"/>
      <c r="V29" s="305"/>
    </row>
    <row r="30" spans="1:22" x14ac:dyDescent="0.3">
      <c r="A30" s="167" t="s">
        <v>291</v>
      </c>
      <c r="B30" s="261">
        <v>432360</v>
      </c>
      <c r="C30" s="302"/>
      <c r="D30" s="307" t="s">
        <v>292</v>
      </c>
      <c r="E30" s="261">
        <v>577</v>
      </c>
      <c r="F30" s="292"/>
      <c r="G30" s="308"/>
      <c r="H30" s="308"/>
      <c r="I30" s="304"/>
      <c r="J30" s="305"/>
      <c r="K30" s="304"/>
      <c r="L30" s="305"/>
      <c r="M30" s="304"/>
      <c r="N30" s="305"/>
      <c r="O30" s="304"/>
      <c r="P30" s="305"/>
      <c r="Q30" s="304"/>
      <c r="R30" s="305"/>
      <c r="S30" s="304"/>
      <c r="T30" s="305"/>
      <c r="U30" s="304"/>
      <c r="V30" s="305"/>
    </row>
    <row r="31" spans="1:22" x14ac:dyDescent="0.3">
      <c r="A31" s="248" t="s">
        <v>293</v>
      </c>
      <c r="B31" s="202">
        <v>413817</v>
      </c>
      <c r="C31" s="302"/>
      <c r="D31" s="248" t="s">
        <v>294</v>
      </c>
      <c r="E31" s="263">
        <v>377</v>
      </c>
      <c r="F31" s="292"/>
      <c r="G31" s="292"/>
      <c r="H31" s="292"/>
      <c r="I31" s="304"/>
      <c r="J31" s="305"/>
      <c r="K31" s="304"/>
      <c r="L31" s="305"/>
      <c r="M31" s="304"/>
      <c r="N31" s="305"/>
      <c r="O31" s="304"/>
      <c r="P31" s="305"/>
      <c r="Q31" s="304"/>
      <c r="R31" s="305"/>
      <c r="S31" s="304"/>
      <c r="T31" s="305"/>
      <c r="U31" s="304"/>
      <c r="V31" s="305"/>
    </row>
    <row r="32" spans="1:22" ht="21" x14ac:dyDescent="0.3">
      <c r="A32" s="167" t="s">
        <v>294</v>
      </c>
      <c r="B32" s="155">
        <v>381554</v>
      </c>
      <c r="C32" s="302"/>
      <c r="D32" s="309" t="s">
        <v>281</v>
      </c>
      <c r="E32" s="49">
        <f>E34-SUM(E7:E31)</f>
        <v>577</v>
      </c>
      <c r="F32" s="292"/>
      <c r="G32" s="308"/>
      <c r="H32" s="308"/>
      <c r="I32" s="304"/>
      <c r="J32" s="305"/>
      <c r="K32" s="304"/>
      <c r="L32" s="305"/>
      <c r="M32" s="304"/>
      <c r="N32" s="305"/>
      <c r="O32" s="304"/>
      <c r="P32" s="305"/>
      <c r="Q32" s="304"/>
      <c r="R32" s="305"/>
      <c r="S32" s="304"/>
      <c r="T32" s="305"/>
      <c r="U32" s="304"/>
      <c r="V32" s="305"/>
    </row>
    <row r="33" spans="1:22" x14ac:dyDescent="0.3">
      <c r="A33" s="248" t="s">
        <v>295</v>
      </c>
      <c r="B33" s="202">
        <v>339144</v>
      </c>
      <c r="C33" s="302"/>
      <c r="D33" s="307"/>
      <c r="E33" s="261"/>
      <c r="F33" s="292"/>
      <c r="G33" s="308"/>
      <c r="H33" s="308"/>
      <c r="I33" s="304"/>
      <c r="J33" s="305"/>
      <c r="K33" s="304"/>
      <c r="L33" s="305"/>
      <c r="M33" s="304"/>
      <c r="N33" s="305"/>
      <c r="O33" s="304"/>
      <c r="P33" s="305"/>
      <c r="Q33" s="304"/>
      <c r="R33" s="305"/>
      <c r="S33" s="304"/>
      <c r="T33" s="305"/>
      <c r="U33" s="304"/>
      <c r="V33" s="305"/>
    </row>
    <row r="34" spans="1:22" x14ac:dyDescent="0.3">
      <c r="A34" s="167" t="s">
        <v>296</v>
      </c>
      <c r="B34" s="155">
        <v>336261</v>
      </c>
      <c r="C34" s="302"/>
      <c r="D34" s="279" t="s">
        <v>249</v>
      </c>
      <c r="E34" s="280">
        <v>1933049</v>
      </c>
      <c r="F34" s="292"/>
      <c r="G34" s="292"/>
      <c r="H34" s="308"/>
      <c r="I34" s="304"/>
      <c r="J34" s="305"/>
      <c r="K34" s="304"/>
      <c r="L34" s="305"/>
      <c r="M34" s="304"/>
      <c r="N34" s="305"/>
      <c r="O34" s="304"/>
      <c r="P34" s="305"/>
      <c r="Q34" s="304"/>
      <c r="R34" s="305"/>
      <c r="S34" s="305"/>
      <c r="T34" s="305"/>
      <c r="U34" s="305"/>
      <c r="V34" s="305"/>
    </row>
    <row r="35" spans="1:22" x14ac:dyDescent="0.3">
      <c r="A35" s="248" t="s">
        <v>297</v>
      </c>
      <c r="B35" s="263">
        <v>313057</v>
      </c>
      <c r="C35" s="302"/>
      <c r="D35" s="277"/>
      <c r="E35" s="278"/>
      <c r="F35" s="292"/>
      <c r="G35" s="308"/>
      <c r="H35" s="308"/>
      <c r="I35" s="304"/>
      <c r="J35" s="305"/>
      <c r="K35" s="304"/>
      <c r="L35" s="305"/>
      <c r="M35" s="304"/>
      <c r="N35" s="305"/>
      <c r="O35" s="304"/>
      <c r="P35" s="305"/>
      <c r="Q35" s="304"/>
      <c r="R35" s="305"/>
      <c r="S35" s="304"/>
      <c r="T35" s="305"/>
      <c r="U35" s="304"/>
      <c r="V35" s="305"/>
    </row>
    <row r="36" spans="1:22" x14ac:dyDescent="0.3">
      <c r="A36" s="307" t="s">
        <v>298</v>
      </c>
      <c r="B36" s="261">
        <v>246460</v>
      </c>
      <c r="C36" s="302"/>
      <c r="D36" s="296"/>
      <c r="E36" s="296"/>
      <c r="F36" s="292"/>
      <c r="G36" s="308"/>
      <c r="H36" s="308"/>
      <c r="I36" s="304"/>
      <c r="J36" s="305"/>
      <c r="K36" s="304"/>
      <c r="L36" s="305"/>
      <c r="M36" s="304"/>
      <c r="N36" s="305"/>
      <c r="O36" s="304"/>
      <c r="P36" s="305"/>
      <c r="Q36" s="304"/>
      <c r="R36" s="305"/>
      <c r="S36" s="304"/>
      <c r="T36" s="305"/>
      <c r="U36" s="304"/>
      <c r="V36" s="305"/>
    </row>
    <row r="37" spans="1:22" x14ac:dyDescent="0.3">
      <c r="A37" s="248" t="s">
        <v>299</v>
      </c>
      <c r="B37" s="263">
        <v>206182</v>
      </c>
      <c r="C37" s="302"/>
      <c r="F37" s="292"/>
      <c r="G37" s="308"/>
      <c r="H37" s="308"/>
      <c r="I37" s="304"/>
      <c r="J37" s="305"/>
      <c r="K37" s="304"/>
      <c r="L37" s="305"/>
      <c r="M37" s="304"/>
      <c r="N37" s="305"/>
      <c r="O37" s="304"/>
      <c r="P37" s="305"/>
      <c r="Q37" s="304"/>
      <c r="R37" s="305"/>
      <c r="S37" s="305"/>
      <c r="T37" s="305"/>
      <c r="U37" s="305"/>
      <c r="V37" s="305"/>
    </row>
    <row r="38" spans="1:22" x14ac:dyDescent="0.3">
      <c r="A38" s="167" t="s">
        <v>128</v>
      </c>
      <c r="B38" s="261">
        <v>200934</v>
      </c>
      <c r="C38" s="302"/>
      <c r="F38" s="292"/>
      <c r="G38" s="308"/>
      <c r="H38" s="308"/>
      <c r="I38" s="304"/>
      <c r="J38" s="305"/>
      <c r="K38" s="304"/>
      <c r="L38" s="305"/>
      <c r="M38" s="304"/>
      <c r="N38" s="305"/>
      <c r="O38" s="304"/>
      <c r="P38" s="305"/>
      <c r="Q38" s="304"/>
      <c r="R38" s="305"/>
      <c r="S38" s="304"/>
      <c r="T38" s="305"/>
      <c r="U38" s="304"/>
      <c r="V38" s="305"/>
    </row>
    <row r="39" spans="1:22" x14ac:dyDescent="0.3">
      <c r="A39" s="248" t="s">
        <v>288</v>
      </c>
      <c r="B39" s="263">
        <v>183671</v>
      </c>
      <c r="C39" s="302"/>
      <c r="F39" s="292"/>
      <c r="G39" s="310"/>
      <c r="H39" s="310"/>
      <c r="I39" s="304"/>
      <c r="J39" s="305"/>
      <c r="K39" s="304"/>
      <c r="L39" s="305"/>
      <c r="M39" s="304"/>
      <c r="N39" s="305"/>
      <c r="O39" s="304"/>
      <c r="P39" s="305"/>
      <c r="Q39" s="304"/>
      <c r="R39" s="305"/>
      <c r="S39" s="304"/>
      <c r="T39" s="305"/>
      <c r="U39" s="304"/>
      <c r="V39" s="305"/>
    </row>
    <row r="40" spans="1:22" x14ac:dyDescent="0.3">
      <c r="A40" s="167" t="s">
        <v>300</v>
      </c>
      <c r="B40" s="261">
        <v>180843</v>
      </c>
      <c r="C40" s="302"/>
      <c r="D40" s="302"/>
      <c r="E40" s="302"/>
      <c r="F40" s="292"/>
      <c r="G40" s="302"/>
      <c r="H40" s="302"/>
      <c r="I40" s="304"/>
      <c r="J40" s="305"/>
      <c r="K40" s="304"/>
      <c r="L40" s="305"/>
      <c r="M40" s="304"/>
      <c r="N40" s="305"/>
      <c r="O40" s="304"/>
      <c r="P40" s="305"/>
      <c r="Q40" s="304"/>
      <c r="R40" s="305"/>
      <c r="S40" s="304"/>
      <c r="T40" s="305"/>
      <c r="U40" s="304"/>
      <c r="V40" s="305"/>
    </row>
    <row r="41" spans="1:22" x14ac:dyDescent="0.3">
      <c r="A41" s="248" t="s">
        <v>301</v>
      </c>
      <c r="B41" s="263">
        <v>177309</v>
      </c>
      <c r="C41" s="302"/>
      <c r="D41" s="310"/>
      <c r="E41" s="310"/>
      <c r="F41" s="292"/>
      <c r="G41" s="310"/>
      <c r="H41" s="302"/>
      <c r="I41" s="304"/>
      <c r="J41" s="305"/>
      <c r="K41" s="304"/>
      <c r="L41" s="305"/>
      <c r="M41" s="304"/>
      <c r="N41" s="305"/>
      <c r="O41" s="304"/>
      <c r="P41" s="305"/>
      <c r="Q41" s="304"/>
      <c r="R41" s="305"/>
      <c r="S41" s="304"/>
      <c r="T41" s="305"/>
      <c r="U41" s="304"/>
      <c r="V41" s="305"/>
    </row>
    <row r="42" spans="1:22" x14ac:dyDescent="0.3">
      <c r="A42" s="167" t="s">
        <v>302</v>
      </c>
      <c r="B42" s="261">
        <v>175565</v>
      </c>
      <c r="C42" s="302"/>
      <c r="D42" s="310"/>
      <c r="E42" s="302"/>
      <c r="F42" s="302"/>
      <c r="G42" s="302"/>
      <c r="H42" s="302"/>
      <c r="I42" s="304"/>
      <c r="J42" s="305"/>
      <c r="K42" s="304"/>
      <c r="L42" s="305"/>
      <c r="M42" s="304"/>
      <c r="N42" s="305"/>
      <c r="O42" s="304"/>
      <c r="P42" s="305"/>
      <c r="Q42" s="304"/>
      <c r="R42" s="305"/>
      <c r="S42" s="304"/>
      <c r="T42" s="305"/>
      <c r="U42" s="304"/>
      <c r="V42" s="305"/>
    </row>
    <row r="43" spans="1:22" x14ac:dyDescent="0.3">
      <c r="A43" s="248" t="s">
        <v>303</v>
      </c>
      <c r="B43" s="202">
        <v>156288</v>
      </c>
      <c r="C43" s="302"/>
      <c r="D43" s="302"/>
      <c r="E43" s="302"/>
      <c r="F43" s="302"/>
      <c r="G43" s="310"/>
      <c r="H43" s="310"/>
      <c r="I43" s="304"/>
      <c r="J43" s="305"/>
      <c r="K43" s="304"/>
      <c r="L43" s="305"/>
      <c r="M43" s="304"/>
      <c r="N43" s="305"/>
      <c r="O43" s="304"/>
      <c r="P43" s="305"/>
      <c r="Q43" s="304"/>
      <c r="R43" s="305"/>
      <c r="S43" s="304"/>
      <c r="T43" s="305"/>
      <c r="U43" s="304"/>
      <c r="V43" s="305"/>
    </row>
    <row r="44" spans="1:22" x14ac:dyDescent="0.3">
      <c r="A44" s="167" t="s">
        <v>286</v>
      </c>
      <c r="B44" s="155">
        <v>139490</v>
      </c>
      <c r="C44" s="302"/>
      <c r="D44" s="302"/>
      <c r="E44" s="302"/>
      <c r="F44" s="302"/>
      <c r="G44" s="302"/>
      <c r="H44" s="302"/>
      <c r="I44" s="305"/>
      <c r="J44" s="305"/>
      <c r="K44" s="304"/>
      <c r="L44" s="305"/>
      <c r="M44" s="304"/>
      <c r="N44" s="305"/>
      <c r="O44" s="304"/>
      <c r="P44" s="305"/>
      <c r="Q44" s="304"/>
      <c r="R44" s="305"/>
      <c r="S44" s="304"/>
      <c r="T44" s="305"/>
      <c r="U44" s="304"/>
      <c r="V44" s="305"/>
    </row>
    <row r="45" spans="1:22" x14ac:dyDescent="0.3">
      <c r="A45" s="248" t="s">
        <v>290</v>
      </c>
      <c r="B45" s="202">
        <v>114789</v>
      </c>
      <c r="C45" s="302"/>
      <c r="D45" s="302"/>
      <c r="E45" s="302"/>
      <c r="F45" s="302"/>
      <c r="G45" s="302"/>
      <c r="H45" s="310"/>
      <c r="I45" s="304"/>
      <c r="J45" s="305"/>
      <c r="K45" s="304"/>
      <c r="L45" s="305"/>
      <c r="M45" s="304"/>
      <c r="N45" s="305"/>
      <c r="O45" s="304"/>
      <c r="P45" s="305"/>
      <c r="Q45" s="304"/>
      <c r="R45" s="305"/>
      <c r="S45" s="305"/>
      <c r="T45" s="305"/>
      <c r="U45" s="305"/>
      <c r="V45" s="305"/>
    </row>
    <row r="46" spans="1:22" x14ac:dyDescent="0.3">
      <c r="A46" s="167" t="s">
        <v>121</v>
      </c>
      <c r="B46" s="155">
        <v>110219</v>
      </c>
      <c r="C46" s="302"/>
      <c r="D46" s="302"/>
      <c r="E46" s="302"/>
      <c r="F46" s="302"/>
      <c r="G46" s="302"/>
      <c r="H46" s="302"/>
      <c r="I46" s="304"/>
      <c r="J46" s="305"/>
      <c r="K46" s="304"/>
      <c r="L46" s="305"/>
      <c r="M46" s="304"/>
      <c r="N46" s="305"/>
      <c r="O46" s="304"/>
      <c r="P46" s="305"/>
      <c r="Q46" s="304"/>
      <c r="R46" s="305"/>
      <c r="S46" s="305"/>
      <c r="T46" s="305"/>
      <c r="U46" s="305"/>
      <c r="V46" s="305"/>
    </row>
    <row r="47" spans="1:22" x14ac:dyDescent="0.3">
      <c r="A47" s="248" t="s">
        <v>284</v>
      </c>
      <c r="B47" s="263">
        <v>106547</v>
      </c>
      <c r="C47" s="302"/>
      <c r="D47" s="302"/>
      <c r="E47" s="302"/>
      <c r="F47" s="302"/>
      <c r="G47" s="302"/>
      <c r="H47" s="302"/>
      <c r="I47" s="304"/>
      <c r="J47" s="305"/>
      <c r="K47" s="304"/>
      <c r="L47" s="305"/>
      <c r="M47" s="304"/>
      <c r="N47" s="305"/>
      <c r="O47" s="304"/>
      <c r="P47" s="305"/>
      <c r="Q47" s="305"/>
      <c r="R47" s="305"/>
      <c r="S47" s="305"/>
      <c r="T47" s="305"/>
      <c r="U47" s="305"/>
      <c r="V47" s="305"/>
    </row>
    <row r="48" spans="1:22" x14ac:dyDescent="0.3">
      <c r="A48" s="307" t="s">
        <v>276</v>
      </c>
      <c r="B48" s="261">
        <v>103710</v>
      </c>
      <c r="C48" s="302"/>
      <c r="D48" s="246"/>
      <c r="E48" s="246"/>
      <c r="F48" s="302"/>
      <c r="G48" s="246"/>
      <c r="H48" s="246"/>
      <c r="I48" s="305"/>
      <c r="J48" s="305"/>
      <c r="K48" s="304"/>
      <c r="L48" s="305"/>
      <c r="M48" s="304"/>
      <c r="N48" s="305"/>
      <c r="O48" s="305"/>
      <c r="P48" s="305"/>
      <c r="Q48" s="305"/>
      <c r="R48" s="305"/>
      <c r="S48" s="305"/>
      <c r="T48" s="305"/>
      <c r="U48" s="305"/>
      <c r="V48" s="305"/>
    </row>
    <row r="49" spans="1:22" x14ac:dyDescent="0.3">
      <c r="A49" s="311" t="s">
        <v>292</v>
      </c>
      <c r="B49" s="263">
        <v>73309</v>
      </c>
      <c r="C49" s="302"/>
      <c r="D49" s="246"/>
      <c r="E49" s="246"/>
      <c r="F49" s="302"/>
      <c r="G49" s="246"/>
      <c r="H49" s="246"/>
      <c r="I49" s="305"/>
      <c r="J49" s="305"/>
      <c r="K49" s="304"/>
      <c r="L49" s="305"/>
      <c r="M49" s="304"/>
      <c r="N49" s="305"/>
      <c r="O49" s="305"/>
      <c r="P49" s="305"/>
      <c r="Q49" s="305"/>
      <c r="R49" s="305"/>
      <c r="S49" s="304"/>
      <c r="T49" s="305"/>
      <c r="U49" s="304"/>
      <c r="V49" s="305"/>
    </row>
    <row r="50" spans="1:22" x14ac:dyDescent="0.3">
      <c r="A50" s="307" t="s">
        <v>304</v>
      </c>
      <c r="B50" s="261">
        <v>71819</v>
      </c>
      <c r="C50" s="302"/>
      <c r="D50" s="166"/>
      <c r="E50" s="166"/>
      <c r="F50" s="302"/>
      <c r="G50" s="166"/>
      <c r="H50" s="166"/>
      <c r="I50" s="305"/>
      <c r="J50" s="305"/>
      <c r="K50" s="304"/>
      <c r="L50" s="305"/>
      <c r="M50" s="304"/>
      <c r="N50" s="305"/>
      <c r="O50" s="304"/>
      <c r="P50" s="305"/>
      <c r="Q50" s="304"/>
      <c r="R50" s="305"/>
      <c r="S50" s="305"/>
      <c r="T50" s="305"/>
      <c r="U50" s="305"/>
      <c r="V50" s="305"/>
    </row>
    <row r="51" spans="1:22" x14ac:dyDescent="0.3">
      <c r="A51" s="311" t="s">
        <v>305</v>
      </c>
      <c r="B51" s="263">
        <v>68629</v>
      </c>
      <c r="C51" s="246"/>
      <c r="F51" s="246"/>
    </row>
    <row r="52" spans="1:22" x14ac:dyDescent="0.3">
      <c r="A52" s="307" t="s">
        <v>306</v>
      </c>
      <c r="B52" s="261">
        <v>66066</v>
      </c>
      <c r="C52" s="246"/>
      <c r="F52" s="246"/>
    </row>
    <row r="53" spans="1:22" x14ac:dyDescent="0.3">
      <c r="A53" s="311" t="s">
        <v>307</v>
      </c>
      <c r="B53" s="263">
        <v>60236</v>
      </c>
      <c r="C53" s="166"/>
      <c r="F53" s="166"/>
    </row>
    <row r="54" spans="1:22" x14ac:dyDescent="0.3">
      <c r="A54" s="307" t="s">
        <v>308</v>
      </c>
      <c r="B54" s="261">
        <v>59792</v>
      </c>
    </row>
    <row r="55" spans="1:22" x14ac:dyDescent="0.3">
      <c r="A55" s="311" t="s">
        <v>309</v>
      </c>
      <c r="B55" s="263">
        <v>53539</v>
      </c>
    </row>
    <row r="56" spans="1:22" x14ac:dyDescent="0.3">
      <c r="A56" s="307" t="s">
        <v>281</v>
      </c>
      <c r="B56" s="261">
        <f>B58-SUM(B7:B55)</f>
        <v>2093113</v>
      </c>
    </row>
    <row r="57" spans="1:22" x14ac:dyDescent="0.3">
      <c r="A57" s="162"/>
      <c r="B57" s="255"/>
    </row>
    <row r="58" spans="1:22" x14ac:dyDescent="0.3">
      <c r="A58" s="279" t="s">
        <v>251</v>
      </c>
      <c r="B58" s="280">
        <v>52688455</v>
      </c>
    </row>
    <row r="59" spans="1:22" x14ac:dyDescent="0.3">
      <c r="A59" s="288" t="s">
        <v>53</v>
      </c>
      <c r="B59" s="289"/>
    </row>
  </sheetData>
  <mergeCells count="3">
    <mergeCell ref="A3:B3"/>
    <mergeCell ref="D3:E3"/>
    <mergeCell ref="G3:H3"/>
  </mergeCells>
  <pageMargins left="0.19685039370078741" right="0.19685039370078741" top="0.98425196850393704" bottom="0.98425196850393704" header="0" footer="0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98"/>
  <sheetViews>
    <sheetView topLeftCell="F1" zoomScaleNormal="100" workbookViewId="0">
      <selection activeCell="C10" sqref="C10"/>
    </sheetView>
  </sheetViews>
  <sheetFormatPr defaultColWidth="9.1796875" defaultRowHeight="12.5" x14ac:dyDescent="0.25"/>
  <cols>
    <col min="1" max="1" width="28.453125" style="155" customWidth="1"/>
    <col min="2" max="5" width="11.453125" style="155" hidden="1" customWidth="1"/>
    <col min="6" max="18" width="11.453125" style="155" customWidth="1"/>
    <col min="19" max="19" width="10.54296875" style="155" customWidth="1"/>
    <col min="20" max="20" width="15.7265625" style="155" customWidth="1"/>
    <col min="21" max="256" width="9.1796875" style="155"/>
    <col min="257" max="257" width="28.453125" style="155" customWidth="1"/>
    <col min="258" max="261" width="0" style="155" hidden="1" customWidth="1"/>
    <col min="262" max="274" width="11.453125" style="155" customWidth="1"/>
    <col min="275" max="275" width="10.54296875" style="155" customWidth="1"/>
    <col min="276" max="276" width="15.7265625" style="155" customWidth="1"/>
    <col min="277" max="512" width="9.1796875" style="155"/>
    <col min="513" max="513" width="28.453125" style="155" customWidth="1"/>
    <col min="514" max="517" width="0" style="155" hidden="1" customWidth="1"/>
    <col min="518" max="530" width="11.453125" style="155" customWidth="1"/>
    <col min="531" max="531" width="10.54296875" style="155" customWidth="1"/>
    <col min="532" max="532" width="15.7265625" style="155" customWidth="1"/>
    <col min="533" max="768" width="9.1796875" style="155"/>
    <col min="769" max="769" width="28.453125" style="155" customWidth="1"/>
    <col min="770" max="773" width="0" style="155" hidden="1" customWidth="1"/>
    <col min="774" max="786" width="11.453125" style="155" customWidth="1"/>
    <col min="787" max="787" width="10.54296875" style="155" customWidth="1"/>
    <col min="788" max="788" width="15.7265625" style="155" customWidth="1"/>
    <col min="789" max="1024" width="9.1796875" style="155"/>
    <col min="1025" max="1025" width="28.453125" style="155" customWidth="1"/>
    <col min="1026" max="1029" width="0" style="155" hidden="1" customWidth="1"/>
    <col min="1030" max="1042" width="11.453125" style="155" customWidth="1"/>
    <col min="1043" max="1043" width="10.54296875" style="155" customWidth="1"/>
    <col min="1044" max="1044" width="15.7265625" style="155" customWidth="1"/>
    <col min="1045" max="1280" width="9.1796875" style="155"/>
    <col min="1281" max="1281" width="28.453125" style="155" customWidth="1"/>
    <col min="1282" max="1285" width="0" style="155" hidden="1" customWidth="1"/>
    <col min="1286" max="1298" width="11.453125" style="155" customWidth="1"/>
    <col min="1299" max="1299" width="10.54296875" style="155" customWidth="1"/>
    <col min="1300" max="1300" width="15.7265625" style="155" customWidth="1"/>
    <col min="1301" max="1536" width="9.1796875" style="155"/>
    <col min="1537" max="1537" width="28.453125" style="155" customWidth="1"/>
    <col min="1538" max="1541" width="0" style="155" hidden="1" customWidth="1"/>
    <col min="1542" max="1554" width="11.453125" style="155" customWidth="1"/>
    <col min="1555" max="1555" width="10.54296875" style="155" customWidth="1"/>
    <col min="1556" max="1556" width="15.7265625" style="155" customWidth="1"/>
    <col min="1557" max="1792" width="9.1796875" style="155"/>
    <col min="1793" max="1793" width="28.453125" style="155" customWidth="1"/>
    <col min="1794" max="1797" width="0" style="155" hidden="1" customWidth="1"/>
    <col min="1798" max="1810" width="11.453125" style="155" customWidth="1"/>
    <col min="1811" max="1811" width="10.54296875" style="155" customWidth="1"/>
    <col min="1812" max="1812" width="15.7265625" style="155" customWidth="1"/>
    <col min="1813" max="2048" width="9.1796875" style="155"/>
    <col min="2049" max="2049" width="28.453125" style="155" customWidth="1"/>
    <col min="2050" max="2053" width="0" style="155" hidden="1" customWidth="1"/>
    <col min="2054" max="2066" width="11.453125" style="155" customWidth="1"/>
    <col min="2067" max="2067" width="10.54296875" style="155" customWidth="1"/>
    <col min="2068" max="2068" width="15.7265625" style="155" customWidth="1"/>
    <col min="2069" max="2304" width="9.1796875" style="155"/>
    <col min="2305" max="2305" width="28.453125" style="155" customWidth="1"/>
    <col min="2306" max="2309" width="0" style="155" hidden="1" customWidth="1"/>
    <col min="2310" max="2322" width="11.453125" style="155" customWidth="1"/>
    <col min="2323" max="2323" width="10.54296875" style="155" customWidth="1"/>
    <col min="2324" max="2324" width="15.7265625" style="155" customWidth="1"/>
    <col min="2325" max="2560" width="9.1796875" style="155"/>
    <col min="2561" max="2561" width="28.453125" style="155" customWidth="1"/>
    <col min="2562" max="2565" width="0" style="155" hidden="1" customWidth="1"/>
    <col min="2566" max="2578" width="11.453125" style="155" customWidth="1"/>
    <col min="2579" max="2579" width="10.54296875" style="155" customWidth="1"/>
    <col min="2580" max="2580" width="15.7265625" style="155" customWidth="1"/>
    <col min="2581" max="2816" width="9.1796875" style="155"/>
    <col min="2817" max="2817" width="28.453125" style="155" customWidth="1"/>
    <col min="2818" max="2821" width="0" style="155" hidden="1" customWidth="1"/>
    <col min="2822" max="2834" width="11.453125" style="155" customWidth="1"/>
    <col min="2835" max="2835" width="10.54296875" style="155" customWidth="1"/>
    <col min="2836" max="2836" width="15.7265625" style="155" customWidth="1"/>
    <col min="2837" max="3072" width="9.1796875" style="155"/>
    <col min="3073" max="3073" width="28.453125" style="155" customWidth="1"/>
    <col min="3074" max="3077" width="0" style="155" hidden="1" customWidth="1"/>
    <col min="3078" max="3090" width="11.453125" style="155" customWidth="1"/>
    <col min="3091" max="3091" width="10.54296875" style="155" customWidth="1"/>
    <col min="3092" max="3092" width="15.7265625" style="155" customWidth="1"/>
    <col min="3093" max="3328" width="9.1796875" style="155"/>
    <col min="3329" max="3329" width="28.453125" style="155" customWidth="1"/>
    <col min="3330" max="3333" width="0" style="155" hidden="1" customWidth="1"/>
    <col min="3334" max="3346" width="11.453125" style="155" customWidth="1"/>
    <col min="3347" max="3347" width="10.54296875" style="155" customWidth="1"/>
    <col min="3348" max="3348" width="15.7265625" style="155" customWidth="1"/>
    <col min="3349" max="3584" width="9.1796875" style="155"/>
    <col min="3585" max="3585" width="28.453125" style="155" customWidth="1"/>
    <col min="3586" max="3589" width="0" style="155" hidden="1" customWidth="1"/>
    <col min="3590" max="3602" width="11.453125" style="155" customWidth="1"/>
    <col min="3603" max="3603" width="10.54296875" style="155" customWidth="1"/>
    <col min="3604" max="3604" width="15.7265625" style="155" customWidth="1"/>
    <col min="3605" max="3840" width="9.1796875" style="155"/>
    <col min="3841" max="3841" width="28.453125" style="155" customWidth="1"/>
    <col min="3842" max="3845" width="0" style="155" hidden="1" customWidth="1"/>
    <col min="3846" max="3858" width="11.453125" style="155" customWidth="1"/>
    <col min="3859" max="3859" width="10.54296875" style="155" customWidth="1"/>
    <col min="3860" max="3860" width="15.7265625" style="155" customWidth="1"/>
    <col min="3861" max="4096" width="9.1796875" style="155"/>
    <col min="4097" max="4097" width="28.453125" style="155" customWidth="1"/>
    <col min="4098" max="4101" width="0" style="155" hidden="1" customWidth="1"/>
    <col min="4102" max="4114" width="11.453125" style="155" customWidth="1"/>
    <col min="4115" max="4115" width="10.54296875" style="155" customWidth="1"/>
    <col min="4116" max="4116" width="15.7265625" style="155" customWidth="1"/>
    <col min="4117" max="4352" width="9.1796875" style="155"/>
    <col min="4353" max="4353" width="28.453125" style="155" customWidth="1"/>
    <col min="4354" max="4357" width="0" style="155" hidden="1" customWidth="1"/>
    <col min="4358" max="4370" width="11.453125" style="155" customWidth="1"/>
    <col min="4371" max="4371" width="10.54296875" style="155" customWidth="1"/>
    <col min="4372" max="4372" width="15.7265625" style="155" customWidth="1"/>
    <col min="4373" max="4608" width="9.1796875" style="155"/>
    <col min="4609" max="4609" width="28.453125" style="155" customWidth="1"/>
    <col min="4610" max="4613" width="0" style="155" hidden="1" customWidth="1"/>
    <col min="4614" max="4626" width="11.453125" style="155" customWidth="1"/>
    <col min="4627" max="4627" width="10.54296875" style="155" customWidth="1"/>
    <col min="4628" max="4628" width="15.7265625" style="155" customWidth="1"/>
    <col min="4629" max="4864" width="9.1796875" style="155"/>
    <col min="4865" max="4865" width="28.453125" style="155" customWidth="1"/>
    <col min="4866" max="4869" width="0" style="155" hidden="1" customWidth="1"/>
    <col min="4870" max="4882" width="11.453125" style="155" customWidth="1"/>
    <col min="4883" max="4883" width="10.54296875" style="155" customWidth="1"/>
    <col min="4884" max="4884" width="15.7265625" style="155" customWidth="1"/>
    <col min="4885" max="5120" width="9.1796875" style="155"/>
    <col min="5121" max="5121" width="28.453125" style="155" customWidth="1"/>
    <col min="5122" max="5125" width="0" style="155" hidden="1" customWidth="1"/>
    <col min="5126" max="5138" width="11.453125" style="155" customWidth="1"/>
    <col min="5139" max="5139" width="10.54296875" style="155" customWidth="1"/>
    <col min="5140" max="5140" width="15.7265625" style="155" customWidth="1"/>
    <col min="5141" max="5376" width="9.1796875" style="155"/>
    <col min="5377" max="5377" width="28.453125" style="155" customWidth="1"/>
    <col min="5378" max="5381" width="0" style="155" hidden="1" customWidth="1"/>
    <col min="5382" max="5394" width="11.453125" style="155" customWidth="1"/>
    <col min="5395" max="5395" width="10.54296875" style="155" customWidth="1"/>
    <col min="5396" max="5396" width="15.7265625" style="155" customWidth="1"/>
    <col min="5397" max="5632" width="9.1796875" style="155"/>
    <col min="5633" max="5633" width="28.453125" style="155" customWidth="1"/>
    <col min="5634" max="5637" width="0" style="155" hidden="1" customWidth="1"/>
    <col min="5638" max="5650" width="11.453125" style="155" customWidth="1"/>
    <col min="5651" max="5651" width="10.54296875" style="155" customWidth="1"/>
    <col min="5652" max="5652" width="15.7265625" style="155" customWidth="1"/>
    <col min="5653" max="5888" width="9.1796875" style="155"/>
    <col min="5889" max="5889" width="28.453125" style="155" customWidth="1"/>
    <col min="5890" max="5893" width="0" style="155" hidden="1" customWidth="1"/>
    <col min="5894" max="5906" width="11.453125" style="155" customWidth="1"/>
    <col min="5907" max="5907" width="10.54296875" style="155" customWidth="1"/>
    <col min="5908" max="5908" width="15.7265625" style="155" customWidth="1"/>
    <col min="5909" max="6144" width="9.1796875" style="155"/>
    <col min="6145" max="6145" width="28.453125" style="155" customWidth="1"/>
    <col min="6146" max="6149" width="0" style="155" hidden="1" customWidth="1"/>
    <col min="6150" max="6162" width="11.453125" style="155" customWidth="1"/>
    <col min="6163" max="6163" width="10.54296875" style="155" customWidth="1"/>
    <col min="6164" max="6164" width="15.7265625" style="155" customWidth="1"/>
    <col min="6165" max="6400" width="9.1796875" style="155"/>
    <col min="6401" max="6401" width="28.453125" style="155" customWidth="1"/>
    <col min="6402" max="6405" width="0" style="155" hidden="1" customWidth="1"/>
    <col min="6406" max="6418" width="11.453125" style="155" customWidth="1"/>
    <col min="6419" max="6419" width="10.54296875" style="155" customWidth="1"/>
    <col min="6420" max="6420" width="15.7265625" style="155" customWidth="1"/>
    <col min="6421" max="6656" width="9.1796875" style="155"/>
    <col min="6657" max="6657" width="28.453125" style="155" customWidth="1"/>
    <col min="6658" max="6661" width="0" style="155" hidden="1" customWidth="1"/>
    <col min="6662" max="6674" width="11.453125" style="155" customWidth="1"/>
    <col min="6675" max="6675" width="10.54296875" style="155" customWidth="1"/>
    <col min="6676" max="6676" width="15.7265625" style="155" customWidth="1"/>
    <col min="6677" max="6912" width="9.1796875" style="155"/>
    <col min="6913" max="6913" width="28.453125" style="155" customWidth="1"/>
    <col min="6914" max="6917" width="0" style="155" hidden="1" customWidth="1"/>
    <col min="6918" max="6930" width="11.453125" style="155" customWidth="1"/>
    <col min="6931" max="6931" width="10.54296875" style="155" customWidth="1"/>
    <col min="6932" max="6932" width="15.7265625" style="155" customWidth="1"/>
    <col min="6933" max="7168" width="9.1796875" style="155"/>
    <col min="7169" max="7169" width="28.453125" style="155" customWidth="1"/>
    <col min="7170" max="7173" width="0" style="155" hidden="1" customWidth="1"/>
    <col min="7174" max="7186" width="11.453125" style="155" customWidth="1"/>
    <col min="7187" max="7187" width="10.54296875" style="155" customWidth="1"/>
    <col min="7188" max="7188" width="15.7265625" style="155" customWidth="1"/>
    <col min="7189" max="7424" width="9.1796875" style="155"/>
    <col min="7425" max="7425" width="28.453125" style="155" customWidth="1"/>
    <col min="7426" max="7429" width="0" style="155" hidden="1" customWidth="1"/>
    <col min="7430" max="7442" width="11.453125" style="155" customWidth="1"/>
    <col min="7443" max="7443" width="10.54296875" style="155" customWidth="1"/>
    <col min="7444" max="7444" width="15.7265625" style="155" customWidth="1"/>
    <col min="7445" max="7680" width="9.1796875" style="155"/>
    <col min="7681" max="7681" width="28.453125" style="155" customWidth="1"/>
    <col min="7682" max="7685" width="0" style="155" hidden="1" customWidth="1"/>
    <col min="7686" max="7698" width="11.453125" style="155" customWidth="1"/>
    <col min="7699" max="7699" width="10.54296875" style="155" customWidth="1"/>
    <col min="7700" max="7700" width="15.7265625" style="155" customWidth="1"/>
    <col min="7701" max="7936" width="9.1796875" style="155"/>
    <col min="7937" max="7937" width="28.453125" style="155" customWidth="1"/>
    <col min="7938" max="7941" width="0" style="155" hidden="1" customWidth="1"/>
    <col min="7942" max="7954" width="11.453125" style="155" customWidth="1"/>
    <col min="7955" max="7955" width="10.54296875" style="155" customWidth="1"/>
    <col min="7956" max="7956" width="15.7265625" style="155" customWidth="1"/>
    <col min="7957" max="8192" width="9.1796875" style="155"/>
    <col min="8193" max="8193" width="28.453125" style="155" customWidth="1"/>
    <col min="8194" max="8197" width="0" style="155" hidden="1" customWidth="1"/>
    <col min="8198" max="8210" width="11.453125" style="155" customWidth="1"/>
    <col min="8211" max="8211" width="10.54296875" style="155" customWidth="1"/>
    <col min="8212" max="8212" width="15.7265625" style="155" customWidth="1"/>
    <col min="8213" max="8448" width="9.1796875" style="155"/>
    <col min="8449" max="8449" width="28.453125" style="155" customWidth="1"/>
    <col min="8450" max="8453" width="0" style="155" hidden="1" customWidth="1"/>
    <col min="8454" max="8466" width="11.453125" style="155" customWidth="1"/>
    <col min="8467" max="8467" width="10.54296875" style="155" customWidth="1"/>
    <col min="8468" max="8468" width="15.7265625" style="155" customWidth="1"/>
    <col min="8469" max="8704" width="9.1796875" style="155"/>
    <col min="8705" max="8705" width="28.453125" style="155" customWidth="1"/>
    <col min="8706" max="8709" width="0" style="155" hidden="1" customWidth="1"/>
    <col min="8710" max="8722" width="11.453125" style="155" customWidth="1"/>
    <col min="8723" max="8723" width="10.54296875" style="155" customWidth="1"/>
    <col min="8724" max="8724" width="15.7265625" style="155" customWidth="1"/>
    <col min="8725" max="8960" width="9.1796875" style="155"/>
    <col min="8961" max="8961" width="28.453125" style="155" customWidth="1"/>
    <col min="8962" max="8965" width="0" style="155" hidden="1" customWidth="1"/>
    <col min="8966" max="8978" width="11.453125" style="155" customWidth="1"/>
    <col min="8979" max="8979" width="10.54296875" style="155" customWidth="1"/>
    <col min="8980" max="8980" width="15.7265625" style="155" customWidth="1"/>
    <col min="8981" max="9216" width="9.1796875" style="155"/>
    <col min="9217" max="9217" width="28.453125" style="155" customWidth="1"/>
    <col min="9218" max="9221" width="0" style="155" hidden="1" customWidth="1"/>
    <col min="9222" max="9234" width="11.453125" style="155" customWidth="1"/>
    <col min="9235" max="9235" width="10.54296875" style="155" customWidth="1"/>
    <col min="9236" max="9236" width="15.7265625" style="155" customWidth="1"/>
    <col min="9237" max="9472" width="9.1796875" style="155"/>
    <col min="9473" max="9473" width="28.453125" style="155" customWidth="1"/>
    <col min="9474" max="9477" width="0" style="155" hidden="1" customWidth="1"/>
    <col min="9478" max="9490" width="11.453125" style="155" customWidth="1"/>
    <col min="9491" max="9491" width="10.54296875" style="155" customWidth="1"/>
    <col min="9492" max="9492" width="15.7265625" style="155" customWidth="1"/>
    <col min="9493" max="9728" width="9.1796875" style="155"/>
    <col min="9729" max="9729" width="28.453125" style="155" customWidth="1"/>
    <col min="9730" max="9733" width="0" style="155" hidden="1" customWidth="1"/>
    <col min="9734" max="9746" width="11.453125" style="155" customWidth="1"/>
    <col min="9747" max="9747" width="10.54296875" style="155" customWidth="1"/>
    <col min="9748" max="9748" width="15.7265625" style="155" customWidth="1"/>
    <col min="9749" max="9984" width="9.1796875" style="155"/>
    <col min="9985" max="9985" width="28.453125" style="155" customWidth="1"/>
    <col min="9986" max="9989" width="0" style="155" hidden="1" customWidth="1"/>
    <col min="9990" max="10002" width="11.453125" style="155" customWidth="1"/>
    <col min="10003" max="10003" width="10.54296875" style="155" customWidth="1"/>
    <col min="10004" max="10004" width="15.7265625" style="155" customWidth="1"/>
    <col min="10005" max="10240" width="9.1796875" style="155"/>
    <col min="10241" max="10241" width="28.453125" style="155" customWidth="1"/>
    <col min="10242" max="10245" width="0" style="155" hidden="1" customWidth="1"/>
    <col min="10246" max="10258" width="11.453125" style="155" customWidth="1"/>
    <col min="10259" max="10259" width="10.54296875" style="155" customWidth="1"/>
    <col min="10260" max="10260" width="15.7265625" style="155" customWidth="1"/>
    <col min="10261" max="10496" width="9.1796875" style="155"/>
    <col min="10497" max="10497" width="28.453125" style="155" customWidth="1"/>
    <col min="10498" max="10501" width="0" style="155" hidden="1" customWidth="1"/>
    <col min="10502" max="10514" width="11.453125" style="155" customWidth="1"/>
    <col min="10515" max="10515" width="10.54296875" style="155" customWidth="1"/>
    <col min="10516" max="10516" width="15.7265625" style="155" customWidth="1"/>
    <col min="10517" max="10752" width="9.1796875" style="155"/>
    <col min="10753" max="10753" width="28.453125" style="155" customWidth="1"/>
    <col min="10754" max="10757" width="0" style="155" hidden="1" customWidth="1"/>
    <col min="10758" max="10770" width="11.453125" style="155" customWidth="1"/>
    <col min="10771" max="10771" width="10.54296875" style="155" customWidth="1"/>
    <col min="10772" max="10772" width="15.7265625" style="155" customWidth="1"/>
    <col min="10773" max="11008" width="9.1796875" style="155"/>
    <col min="11009" max="11009" width="28.453125" style="155" customWidth="1"/>
    <col min="11010" max="11013" width="0" style="155" hidden="1" customWidth="1"/>
    <col min="11014" max="11026" width="11.453125" style="155" customWidth="1"/>
    <col min="11027" max="11027" width="10.54296875" style="155" customWidth="1"/>
    <col min="11028" max="11028" width="15.7265625" style="155" customWidth="1"/>
    <col min="11029" max="11264" width="9.1796875" style="155"/>
    <col min="11265" max="11265" width="28.453125" style="155" customWidth="1"/>
    <col min="11266" max="11269" width="0" style="155" hidden="1" customWidth="1"/>
    <col min="11270" max="11282" width="11.453125" style="155" customWidth="1"/>
    <col min="11283" max="11283" width="10.54296875" style="155" customWidth="1"/>
    <col min="11284" max="11284" width="15.7265625" style="155" customWidth="1"/>
    <col min="11285" max="11520" width="9.1796875" style="155"/>
    <col min="11521" max="11521" width="28.453125" style="155" customWidth="1"/>
    <col min="11522" max="11525" width="0" style="155" hidden="1" customWidth="1"/>
    <col min="11526" max="11538" width="11.453125" style="155" customWidth="1"/>
    <col min="11539" max="11539" width="10.54296875" style="155" customWidth="1"/>
    <col min="11540" max="11540" width="15.7265625" style="155" customWidth="1"/>
    <col min="11541" max="11776" width="9.1796875" style="155"/>
    <col min="11777" max="11777" width="28.453125" style="155" customWidth="1"/>
    <col min="11778" max="11781" width="0" style="155" hidden="1" customWidth="1"/>
    <col min="11782" max="11794" width="11.453125" style="155" customWidth="1"/>
    <col min="11795" max="11795" width="10.54296875" style="155" customWidth="1"/>
    <col min="11796" max="11796" width="15.7265625" style="155" customWidth="1"/>
    <col min="11797" max="12032" width="9.1796875" style="155"/>
    <col min="12033" max="12033" width="28.453125" style="155" customWidth="1"/>
    <col min="12034" max="12037" width="0" style="155" hidden="1" customWidth="1"/>
    <col min="12038" max="12050" width="11.453125" style="155" customWidth="1"/>
    <col min="12051" max="12051" width="10.54296875" style="155" customWidth="1"/>
    <col min="12052" max="12052" width="15.7265625" style="155" customWidth="1"/>
    <col min="12053" max="12288" width="9.1796875" style="155"/>
    <col min="12289" max="12289" width="28.453125" style="155" customWidth="1"/>
    <col min="12290" max="12293" width="0" style="155" hidden="1" customWidth="1"/>
    <col min="12294" max="12306" width="11.453125" style="155" customWidth="1"/>
    <col min="12307" max="12307" width="10.54296875" style="155" customWidth="1"/>
    <col min="12308" max="12308" width="15.7265625" style="155" customWidth="1"/>
    <col min="12309" max="12544" width="9.1796875" style="155"/>
    <col min="12545" max="12545" width="28.453125" style="155" customWidth="1"/>
    <col min="12546" max="12549" width="0" style="155" hidden="1" customWidth="1"/>
    <col min="12550" max="12562" width="11.453125" style="155" customWidth="1"/>
    <col min="12563" max="12563" width="10.54296875" style="155" customWidth="1"/>
    <col min="12564" max="12564" width="15.7265625" style="155" customWidth="1"/>
    <col min="12565" max="12800" width="9.1796875" style="155"/>
    <col min="12801" max="12801" width="28.453125" style="155" customWidth="1"/>
    <col min="12802" max="12805" width="0" style="155" hidden="1" customWidth="1"/>
    <col min="12806" max="12818" width="11.453125" style="155" customWidth="1"/>
    <col min="12819" max="12819" width="10.54296875" style="155" customWidth="1"/>
    <col min="12820" max="12820" width="15.7265625" style="155" customWidth="1"/>
    <col min="12821" max="13056" width="9.1796875" style="155"/>
    <col min="13057" max="13057" width="28.453125" style="155" customWidth="1"/>
    <col min="13058" max="13061" width="0" style="155" hidden="1" customWidth="1"/>
    <col min="13062" max="13074" width="11.453125" style="155" customWidth="1"/>
    <col min="13075" max="13075" width="10.54296875" style="155" customWidth="1"/>
    <col min="13076" max="13076" width="15.7265625" style="155" customWidth="1"/>
    <col min="13077" max="13312" width="9.1796875" style="155"/>
    <col min="13313" max="13313" width="28.453125" style="155" customWidth="1"/>
    <col min="13314" max="13317" width="0" style="155" hidden="1" customWidth="1"/>
    <col min="13318" max="13330" width="11.453125" style="155" customWidth="1"/>
    <col min="13331" max="13331" width="10.54296875" style="155" customWidth="1"/>
    <col min="13332" max="13332" width="15.7265625" style="155" customWidth="1"/>
    <col min="13333" max="13568" width="9.1796875" style="155"/>
    <col min="13569" max="13569" width="28.453125" style="155" customWidth="1"/>
    <col min="13570" max="13573" width="0" style="155" hidden="1" customWidth="1"/>
    <col min="13574" max="13586" width="11.453125" style="155" customWidth="1"/>
    <col min="13587" max="13587" width="10.54296875" style="155" customWidth="1"/>
    <col min="13588" max="13588" width="15.7265625" style="155" customWidth="1"/>
    <col min="13589" max="13824" width="9.1796875" style="155"/>
    <col min="13825" max="13825" width="28.453125" style="155" customWidth="1"/>
    <col min="13826" max="13829" width="0" style="155" hidden="1" customWidth="1"/>
    <col min="13830" max="13842" width="11.453125" style="155" customWidth="1"/>
    <col min="13843" max="13843" width="10.54296875" style="155" customWidth="1"/>
    <col min="13844" max="13844" width="15.7265625" style="155" customWidth="1"/>
    <col min="13845" max="14080" width="9.1796875" style="155"/>
    <col min="14081" max="14081" width="28.453125" style="155" customWidth="1"/>
    <col min="14082" max="14085" width="0" style="155" hidden="1" customWidth="1"/>
    <col min="14086" max="14098" width="11.453125" style="155" customWidth="1"/>
    <col min="14099" max="14099" width="10.54296875" style="155" customWidth="1"/>
    <col min="14100" max="14100" width="15.7265625" style="155" customWidth="1"/>
    <col min="14101" max="14336" width="9.1796875" style="155"/>
    <col min="14337" max="14337" width="28.453125" style="155" customWidth="1"/>
    <col min="14338" max="14341" width="0" style="155" hidden="1" customWidth="1"/>
    <col min="14342" max="14354" width="11.453125" style="155" customWidth="1"/>
    <col min="14355" max="14355" width="10.54296875" style="155" customWidth="1"/>
    <col min="14356" max="14356" width="15.7265625" style="155" customWidth="1"/>
    <col min="14357" max="14592" width="9.1796875" style="155"/>
    <col min="14593" max="14593" width="28.453125" style="155" customWidth="1"/>
    <col min="14594" max="14597" width="0" style="155" hidden="1" customWidth="1"/>
    <col min="14598" max="14610" width="11.453125" style="155" customWidth="1"/>
    <col min="14611" max="14611" width="10.54296875" style="155" customWidth="1"/>
    <col min="14612" max="14612" width="15.7265625" style="155" customWidth="1"/>
    <col min="14613" max="14848" width="9.1796875" style="155"/>
    <col min="14849" max="14849" width="28.453125" style="155" customWidth="1"/>
    <col min="14850" max="14853" width="0" style="155" hidden="1" customWidth="1"/>
    <col min="14854" max="14866" width="11.453125" style="155" customWidth="1"/>
    <col min="14867" max="14867" width="10.54296875" style="155" customWidth="1"/>
    <col min="14868" max="14868" width="15.7265625" style="155" customWidth="1"/>
    <col min="14869" max="15104" width="9.1796875" style="155"/>
    <col min="15105" max="15105" width="28.453125" style="155" customWidth="1"/>
    <col min="15106" max="15109" width="0" style="155" hidden="1" customWidth="1"/>
    <col min="15110" max="15122" width="11.453125" style="155" customWidth="1"/>
    <col min="15123" max="15123" width="10.54296875" style="155" customWidth="1"/>
    <col min="15124" max="15124" width="15.7265625" style="155" customWidth="1"/>
    <col min="15125" max="15360" width="9.1796875" style="155"/>
    <col min="15361" max="15361" width="28.453125" style="155" customWidth="1"/>
    <col min="15362" max="15365" width="0" style="155" hidden="1" customWidth="1"/>
    <col min="15366" max="15378" width="11.453125" style="155" customWidth="1"/>
    <col min="15379" max="15379" width="10.54296875" style="155" customWidth="1"/>
    <col min="15380" max="15380" width="15.7265625" style="155" customWidth="1"/>
    <col min="15381" max="15616" width="9.1796875" style="155"/>
    <col min="15617" max="15617" width="28.453125" style="155" customWidth="1"/>
    <col min="15618" max="15621" width="0" style="155" hidden="1" customWidth="1"/>
    <col min="15622" max="15634" width="11.453125" style="155" customWidth="1"/>
    <col min="15635" max="15635" width="10.54296875" style="155" customWidth="1"/>
    <col min="15636" max="15636" width="15.7265625" style="155" customWidth="1"/>
    <col min="15637" max="15872" width="9.1796875" style="155"/>
    <col min="15873" max="15873" width="28.453125" style="155" customWidth="1"/>
    <col min="15874" max="15877" width="0" style="155" hidden="1" customWidth="1"/>
    <col min="15878" max="15890" width="11.453125" style="155" customWidth="1"/>
    <col min="15891" max="15891" width="10.54296875" style="155" customWidth="1"/>
    <col min="15892" max="15892" width="15.7265625" style="155" customWidth="1"/>
    <col min="15893" max="16128" width="9.1796875" style="155"/>
    <col min="16129" max="16129" width="28.453125" style="155" customWidth="1"/>
    <col min="16130" max="16133" width="0" style="155" hidden="1" customWidth="1"/>
    <col min="16134" max="16146" width="11.453125" style="155" customWidth="1"/>
    <col min="16147" max="16147" width="10.54296875" style="155" customWidth="1"/>
    <col min="16148" max="16148" width="15.7265625" style="155" customWidth="1"/>
    <col min="16149" max="16384" width="9.1796875" style="155"/>
  </cols>
  <sheetData>
    <row r="1" spans="1:19" ht="14" x14ac:dyDescent="0.3">
      <c r="A1" s="5" t="s">
        <v>310</v>
      </c>
      <c r="B1" s="5"/>
      <c r="C1" s="5"/>
      <c r="D1" s="5"/>
    </row>
    <row r="2" spans="1:19" ht="9.5" customHeight="1" x14ac:dyDescent="0.3">
      <c r="A2" s="5"/>
      <c r="B2" s="5"/>
      <c r="C2" s="5"/>
      <c r="D2" s="5"/>
    </row>
    <row r="3" spans="1:19" x14ac:dyDescent="0.2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46" t="s">
        <v>311</v>
      </c>
    </row>
    <row r="4" spans="1:19" x14ac:dyDescent="0.25">
      <c r="A4" s="313" t="s">
        <v>312</v>
      </c>
      <c r="B4" s="314">
        <v>2003</v>
      </c>
      <c r="C4" s="314">
        <v>2004</v>
      </c>
      <c r="D4" s="314">
        <v>2005</v>
      </c>
      <c r="E4" s="314">
        <v>2006</v>
      </c>
      <c r="F4" s="314">
        <v>2007</v>
      </c>
      <c r="G4" s="314">
        <v>2008</v>
      </c>
      <c r="H4" s="314">
        <v>2009</v>
      </c>
      <c r="I4" s="314">
        <v>2010</v>
      </c>
      <c r="J4" s="314">
        <v>2011</v>
      </c>
      <c r="K4" s="314">
        <v>2012</v>
      </c>
      <c r="L4" s="314">
        <v>2013</v>
      </c>
      <c r="M4" s="314">
        <v>2014</v>
      </c>
      <c r="N4" s="314">
        <v>2015</v>
      </c>
      <c r="O4" s="314">
        <v>2016</v>
      </c>
      <c r="P4" s="314">
        <v>2017</v>
      </c>
      <c r="Q4" s="314">
        <v>2018</v>
      </c>
      <c r="R4" s="314">
        <v>2019</v>
      </c>
      <c r="S4" s="347"/>
    </row>
    <row r="5" spans="1:19" ht="6.5" customHeight="1" x14ac:dyDescent="0.25"/>
    <row r="6" spans="1:19" x14ac:dyDescent="0.25">
      <c r="A6" s="162" t="s">
        <v>313</v>
      </c>
      <c r="B6" s="168">
        <v>383804</v>
      </c>
      <c r="C6" s="168">
        <v>401503</v>
      </c>
      <c r="D6" s="168">
        <v>415704</v>
      </c>
      <c r="E6" s="168">
        <v>434959</v>
      </c>
      <c r="F6" s="168">
        <v>483292</v>
      </c>
      <c r="G6" s="168">
        <v>469746</v>
      </c>
      <c r="H6" s="168">
        <v>435179</v>
      </c>
      <c r="I6" s="168">
        <v>433683</v>
      </c>
      <c r="J6" s="168">
        <v>429390</v>
      </c>
      <c r="K6" s="168">
        <v>373185</v>
      </c>
      <c r="L6" s="168">
        <v>333065</v>
      </c>
      <c r="M6" s="168">
        <v>342601</v>
      </c>
      <c r="N6" s="168">
        <v>366608</v>
      </c>
      <c r="O6" s="168">
        <v>378150</v>
      </c>
      <c r="P6" s="168">
        <v>387566</v>
      </c>
      <c r="Q6" s="168">
        <v>409832</v>
      </c>
      <c r="R6" s="107">
        <v>426375</v>
      </c>
      <c r="S6" s="315">
        <f>(R6-Q6)/Q6</f>
        <v>4.0365320423978605E-2</v>
      </c>
    </row>
    <row r="7" spans="1:19" x14ac:dyDescent="0.25">
      <c r="A7" s="252" t="s">
        <v>314</v>
      </c>
      <c r="B7" s="316">
        <v>282021</v>
      </c>
      <c r="C7" s="316">
        <v>291369</v>
      </c>
      <c r="D7" s="316">
        <v>307811</v>
      </c>
      <c r="E7" s="316">
        <v>327650</v>
      </c>
      <c r="F7" s="316">
        <v>352501</v>
      </c>
      <c r="G7" s="316">
        <v>321693</v>
      </c>
      <c r="H7" s="316">
        <v>278965</v>
      </c>
      <c r="I7" s="316">
        <v>277832</v>
      </c>
      <c r="J7" s="316">
        <v>303054</v>
      </c>
      <c r="K7" s="316">
        <v>290004</v>
      </c>
      <c r="L7" s="316">
        <v>276496</v>
      </c>
      <c r="M7" s="316">
        <v>283850</v>
      </c>
      <c r="N7" s="316">
        <v>288879</v>
      </c>
      <c r="O7" s="316">
        <v>307864</v>
      </c>
      <c r="P7" s="316">
        <v>323539</v>
      </c>
      <c r="Q7" s="316">
        <v>335651</v>
      </c>
      <c r="R7" s="316">
        <v>344563</v>
      </c>
      <c r="S7" s="317">
        <f>(R7-Q7)/Q7</f>
        <v>2.6551388197860279E-2</v>
      </c>
    </row>
    <row r="8" spans="1:19" x14ac:dyDescent="0.25">
      <c r="A8" s="162" t="s">
        <v>315</v>
      </c>
      <c r="B8" s="168">
        <v>168988</v>
      </c>
      <c r="C8" s="168">
        <v>177859</v>
      </c>
      <c r="D8" s="168">
        <v>182028</v>
      </c>
      <c r="E8" s="168">
        <v>190304</v>
      </c>
      <c r="F8" s="168">
        <v>197384</v>
      </c>
      <c r="G8" s="168">
        <v>193379</v>
      </c>
      <c r="H8" s="168">
        <v>177492</v>
      </c>
      <c r="I8" s="168">
        <v>174631</v>
      </c>
      <c r="J8" s="168">
        <v>180152</v>
      </c>
      <c r="K8" s="168">
        <v>173957</v>
      </c>
      <c r="L8" s="168">
        <v>170138</v>
      </c>
      <c r="M8" s="168">
        <v>172628</v>
      </c>
      <c r="N8" s="168">
        <v>178254</v>
      </c>
      <c r="O8" s="168">
        <v>197639</v>
      </c>
      <c r="P8" s="168">
        <v>208787</v>
      </c>
      <c r="Q8" s="168">
        <v>220329</v>
      </c>
      <c r="R8" s="107">
        <v>217222</v>
      </c>
      <c r="S8" s="315">
        <f t="shared" ref="S8:S57" si="0">(R8-Q8)/Q8</f>
        <v>-1.4101638912716891E-2</v>
      </c>
    </row>
    <row r="9" spans="1:19" x14ac:dyDescent="0.25">
      <c r="A9" s="252" t="s">
        <v>316</v>
      </c>
      <c r="B9" s="316">
        <v>110220</v>
      </c>
      <c r="C9" s="316">
        <v>116047</v>
      </c>
      <c r="D9" s="316">
        <v>123959</v>
      </c>
      <c r="E9" s="316">
        <v>127776</v>
      </c>
      <c r="F9" s="316">
        <v>129698</v>
      </c>
      <c r="G9" s="316">
        <v>119821</v>
      </c>
      <c r="H9" s="316">
        <v>103536</v>
      </c>
      <c r="I9" s="316">
        <v>105631</v>
      </c>
      <c r="J9" s="316">
        <v>107397</v>
      </c>
      <c r="K9" s="316">
        <v>102153</v>
      </c>
      <c r="L9" s="316">
        <v>102359</v>
      </c>
      <c r="M9" s="316">
        <v>108263</v>
      </c>
      <c r="N9" s="316">
        <v>108909</v>
      </c>
      <c r="O9" s="316">
        <v>123700</v>
      </c>
      <c r="P9" s="316">
        <v>137092</v>
      </c>
      <c r="Q9" s="316">
        <v>141313</v>
      </c>
      <c r="R9" s="316">
        <v>144939</v>
      </c>
      <c r="S9" s="317">
        <f t="shared" si="0"/>
        <v>2.5659351935066129E-2</v>
      </c>
    </row>
    <row r="10" spans="1:19" x14ac:dyDescent="0.25">
      <c r="A10" s="162" t="s">
        <v>317</v>
      </c>
      <c r="B10" s="168">
        <v>99712</v>
      </c>
      <c r="C10" s="168">
        <v>104659</v>
      </c>
      <c r="D10" s="168">
        <v>110748</v>
      </c>
      <c r="E10" s="168">
        <v>114949</v>
      </c>
      <c r="F10" s="168">
        <v>114355</v>
      </c>
      <c r="G10" s="168">
        <v>116252</v>
      </c>
      <c r="H10" s="168">
        <v>101551</v>
      </c>
      <c r="I10" s="168">
        <v>103087</v>
      </c>
      <c r="J10" s="168">
        <v>111271</v>
      </c>
      <c r="K10" s="168">
        <v>100390</v>
      </c>
      <c r="L10" s="168">
        <v>95483</v>
      </c>
      <c r="M10" s="168">
        <v>102211</v>
      </c>
      <c r="N10" s="168">
        <v>100420</v>
      </c>
      <c r="O10" s="168">
        <v>111996</v>
      </c>
      <c r="P10" s="168">
        <v>118554</v>
      </c>
      <c r="Q10" s="168">
        <v>131030</v>
      </c>
      <c r="R10" s="107">
        <v>126451</v>
      </c>
      <c r="S10" s="315">
        <f t="shared" si="0"/>
        <v>-3.4946195527741739E-2</v>
      </c>
    </row>
    <row r="11" spans="1:19" x14ac:dyDescent="0.25">
      <c r="A11" s="252" t="s">
        <v>318</v>
      </c>
      <c r="B11" s="316">
        <v>66571</v>
      </c>
      <c r="C11" s="316">
        <v>71387</v>
      </c>
      <c r="D11" s="316">
        <v>76109</v>
      </c>
      <c r="E11" s="316">
        <v>76813</v>
      </c>
      <c r="F11" s="316">
        <v>79756</v>
      </c>
      <c r="G11" s="316">
        <v>81097</v>
      </c>
      <c r="H11" s="316">
        <v>74281</v>
      </c>
      <c r="I11" s="316">
        <v>74474</v>
      </c>
      <c r="J11" s="316">
        <v>75576</v>
      </c>
      <c r="K11" s="316">
        <v>62468</v>
      </c>
      <c r="L11" s="316">
        <v>68303</v>
      </c>
      <c r="M11" s="316">
        <v>71570</v>
      </c>
      <c r="N11" s="316">
        <v>74086</v>
      </c>
      <c r="O11" s="316">
        <v>87113</v>
      </c>
      <c r="P11" s="316">
        <v>95322</v>
      </c>
      <c r="Q11" s="316">
        <v>96734</v>
      </c>
      <c r="R11" s="316">
        <v>101410</v>
      </c>
      <c r="S11" s="317">
        <f t="shared" si="0"/>
        <v>4.8338743358074719E-2</v>
      </c>
    </row>
    <row r="12" spans="1:19" x14ac:dyDescent="0.25">
      <c r="A12" s="162" t="s">
        <v>319</v>
      </c>
      <c r="B12" s="168">
        <v>62506</v>
      </c>
      <c r="C12" s="168">
        <v>62824</v>
      </c>
      <c r="D12" s="168">
        <v>63649</v>
      </c>
      <c r="E12" s="168">
        <v>65774</v>
      </c>
      <c r="F12" s="168">
        <v>65036</v>
      </c>
      <c r="G12" s="168">
        <v>60779</v>
      </c>
      <c r="H12" s="168">
        <v>49779</v>
      </c>
      <c r="I12" s="168">
        <v>51858</v>
      </c>
      <c r="J12" s="168">
        <v>58093</v>
      </c>
      <c r="K12" s="168">
        <v>56210</v>
      </c>
      <c r="L12" s="168">
        <v>55987</v>
      </c>
      <c r="M12" s="168">
        <v>60290</v>
      </c>
      <c r="N12" s="168">
        <v>58462</v>
      </c>
      <c r="O12" s="168">
        <v>65881</v>
      </c>
      <c r="P12" s="168">
        <v>69846</v>
      </c>
      <c r="Q12" s="168">
        <v>69910</v>
      </c>
      <c r="R12" s="107">
        <v>70277</v>
      </c>
      <c r="S12" s="315">
        <f t="shared" si="0"/>
        <v>5.2496066371048493E-3</v>
      </c>
    </row>
    <row r="13" spans="1:19" x14ac:dyDescent="0.25">
      <c r="A13" s="252" t="s">
        <v>320</v>
      </c>
      <c r="B13" s="316">
        <v>47990</v>
      </c>
      <c r="C13" s="316">
        <v>48798</v>
      </c>
      <c r="D13" s="316">
        <v>49603</v>
      </c>
      <c r="E13" s="316">
        <v>54146</v>
      </c>
      <c r="F13" s="316">
        <v>57855</v>
      </c>
      <c r="G13" s="316">
        <v>57233</v>
      </c>
      <c r="H13" s="316">
        <v>53551</v>
      </c>
      <c r="I13" s="316">
        <v>56988</v>
      </c>
      <c r="J13" s="316">
        <v>61768</v>
      </c>
      <c r="K13" s="316">
        <v>57737</v>
      </c>
      <c r="L13" s="316">
        <v>56305</v>
      </c>
      <c r="M13" s="316">
        <v>60142</v>
      </c>
      <c r="N13" s="316">
        <v>64612</v>
      </c>
      <c r="O13" s="316">
        <v>72503</v>
      </c>
      <c r="P13" s="316">
        <v>75691</v>
      </c>
      <c r="Q13" s="316">
        <v>76995</v>
      </c>
      <c r="R13" s="316">
        <v>75378</v>
      </c>
      <c r="S13" s="317">
        <f t="shared" si="0"/>
        <v>-2.1001363724917201E-2</v>
      </c>
    </row>
    <row r="14" spans="1:19" x14ac:dyDescent="0.25">
      <c r="A14" s="162" t="s">
        <v>321</v>
      </c>
      <c r="B14" s="168">
        <v>65548</v>
      </c>
      <c r="C14" s="168">
        <v>72679</v>
      </c>
      <c r="D14" s="168">
        <v>87045</v>
      </c>
      <c r="E14" s="168">
        <v>87920</v>
      </c>
      <c r="F14" s="168">
        <v>96616</v>
      </c>
      <c r="G14" s="168">
        <v>96795</v>
      </c>
      <c r="H14" s="168">
        <v>81113</v>
      </c>
      <c r="I14" s="168">
        <v>77802</v>
      </c>
      <c r="J14" s="168">
        <v>70397</v>
      </c>
      <c r="K14" s="168">
        <v>59824</v>
      </c>
      <c r="L14" s="168">
        <v>57163</v>
      </c>
      <c r="M14" s="168">
        <v>56438</v>
      </c>
      <c r="N14" s="168">
        <v>59007</v>
      </c>
      <c r="O14" s="168">
        <v>62798</v>
      </c>
      <c r="P14" s="168">
        <v>68041</v>
      </c>
      <c r="Q14" s="168">
        <v>75834</v>
      </c>
      <c r="R14" s="107">
        <v>77702</v>
      </c>
      <c r="S14" s="315">
        <f t="shared" si="0"/>
        <v>2.4632750481314448E-2</v>
      </c>
    </row>
    <row r="15" spans="1:19" x14ac:dyDescent="0.25">
      <c r="A15" s="252" t="s">
        <v>322</v>
      </c>
      <c r="B15" s="316">
        <v>53718</v>
      </c>
      <c r="C15" s="316">
        <v>56592</v>
      </c>
      <c r="D15" s="316">
        <v>60235</v>
      </c>
      <c r="E15" s="316">
        <v>65297</v>
      </c>
      <c r="F15" s="316">
        <v>65843</v>
      </c>
      <c r="G15" s="316">
        <v>67800</v>
      </c>
      <c r="H15" s="316">
        <v>62773</v>
      </c>
      <c r="I15" s="316">
        <v>61607</v>
      </c>
      <c r="J15" s="316">
        <v>62604</v>
      </c>
      <c r="K15" s="316">
        <v>55784</v>
      </c>
      <c r="L15" s="316">
        <v>49284</v>
      </c>
      <c r="M15" s="316">
        <v>52689</v>
      </c>
      <c r="N15" s="316">
        <v>53260</v>
      </c>
      <c r="O15" s="316">
        <v>55669</v>
      </c>
      <c r="P15" s="316">
        <v>61098</v>
      </c>
      <c r="Q15" s="316">
        <v>73222</v>
      </c>
      <c r="R15" s="316">
        <v>75388</v>
      </c>
      <c r="S15" s="317">
        <f t="shared" si="0"/>
        <v>2.958127338777963E-2</v>
      </c>
    </row>
    <row r="16" spans="1:19" x14ac:dyDescent="0.25">
      <c r="A16" s="162" t="s">
        <v>323</v>
      </c>
      <c r="B16" s="168">
        <v>47667</v>
      </c>
      <c r="C16" s="168">
        <v>48446</v>
      </c>
      <c r="D16" s="168">
        <v>47158</v>
      </c>
      <c r="E16" s="168">
        <v>50172</v>
      </c>
      <c r="F16" s="168">
        <v>52968</v>
      </c>
      <c r="G16" s="168">
        <v>53375</v>
      </c>
      <c r="H16" s="168">
        <v>42914</v>
      </c>
      <c r="I16" s="168">
        <v>46668</v>
      </c>
      <c r="J16" s="168">
        <v>49675</v>
      </c>
      <c r="K16" s="168">
        <v>44787</v>
      </c>
      <c r="L16" s="168">
        <v>44259</v>
      </c>
      <c r="M16" s="168">
        <v>49575</v>
      </c>
      <c r="N16" s="168">
        <v>50448</v>
      </c>
      <c r="O16" s="168">
        <v>54632</v>
      </c>
      <c r="P16" s="168">
        <v>59476</v>
      </c>
      <c r="Q16" s="168">
        <v>60955</v>
      </c>
      <c r="R16" s="107">
        <v>60524</v>
      </c>
      <c r="S16" s="315">
        <f t="shared" si="0"/>
        <v>-7.0707899269953243E-3</v>
      </c>
    </row>
    <row r="17" spans="1:19" x14ac:dyDescent="0.25">
      <c r="A17" s="252" t="s">
        <v>324</v>
      </c>
      <c r="B17" s="316">
        <v>44009</v>
      </c>
      <c r="C17" s="316">
        <v>50361</v>
      </c>
      <c r="D17" s="316">
        <v>56285</v>
      </c>
      <c r="E17" s="316">
        <v>58574</v>
      </c>
      <c r="F17" s="316">
        <v>63076</v>
      </c>
      <c r="G17" s="316">
        <v>61682</v>
      </c>
      <c r="H17" s="316">
        <v>54146</v>
      </c>
      <c r="I17" s="316">
        <v>54119</v>
      </c>
      <c r="J17" s="316">
        <v>54446</v>
      </c>
      <c r="K17" s="316">
        <v>50030</v>
      </c>
      <c r="L17" s="316">
        <v>42683</v>
      </c>
      <c r="M17" s="316">
        <v>42590</v>
      </c>
      <c r="N17" s="316">
        <v>43862</v>
      </c>
      <c r="O17" s="316">
        <v>45105</v>
      </c>
      <c r="P17" s="316">
        <v>46989</v>
      </c>
      <c r="Q17" s="316">
        <v>49966</v>
      </c>
      <c r="R17" s="316">
        <v>51591</v>
      </c>
      <c r="S17" s="317">
        <f t="shared" si="0"/>
        <v>3.2522115038225996E-2</v>
      </c>
    </row>
    <row r="18" spans="1:19" x14ac:dyDescent="0.25">
      <c r="A18" s="162" t="s">
        <v>325</v>
      </c>
      <c r="B18" s="168">
        <v>38483</v>
      </c>
      <c r="C18" s="168">
        <v>44231</v>
      </c>
      <c r="D18" s="168">
        <v>55423</v>
      </c>
      <c r="E18" s="168">
        <v>58576</v>
      </c>
      <c r="F18" s="168">
        <v>65092</v>
      </c>
      <c r="G18" s="168">
        <v>65067</v>
      </c>
      <c r="H18" s="168">
        <v>55593</v>
      </c>
      <c r="I18" s="168">
        <v>54492</v>
      </c>
      <c r="J18" s="168">
        <v>56021</v>
      </c>
      <c r="K18" s="168">
        <v>48501</v>
      </c>
      <c r="L18" s="168">
        <v>41587</v>
      </c>
      <c r="M18" s="168">
        <v>42380</v>
      </c>
      <c r="N18" s="168">
        <v>46086</v>
      </c>
      <c r="O18" s="168">
        <v>45838</v>
      </c>
      <c r="P18" s="168">
        <v>48660</v>
      </c>
      <c r="Q18" s="168">
        <v>57909</v>
      </c>
      <c r="R18" s="107">
        <v>64112</v>
      </c>
      <c r="S18" s="315">
        <f t="shared" si="0"/>
        <v>0.10711633770225699</v>
      </c>
    </row>
    <row r="19" spans="1:19" x14ac:dyDescent="0.25">
      <c r="A19" s="252" t="s">
        <v>326</v>
      </c>
      <c r="B19" s="316">
        <v>39695</v>
      </c>
      <c r="C19" s="316">
        <v>39865</v>
      </c>
      <c r="D19" s="316">
        <v>40415</v>
      </c>
      <c r="E19" s="316">
        <v>44044</v>
      </c>
      <c r="F19" s="316">
        <v>44870</v>
      </c>
      <c r="G19" s="316">
        <v>44552</v>
      </c>
      <c r="H19" s="316">
        <v>36427</v>
      </c>
      <c r="I19" s="316">
        <v>39437</v>
      </c>
      <c r="J19" s="316">
        <v>44549</v>
      </c>
      <c r="K19" s="316">
        <v>37772</v>
      </c>
      <c r="L19" s="316">
        <v>35498</v>
      </c>
      <c r="M19" s="316">
        <v>40066</v>
      </c>
      <c r="N19" s="316">
        <v>39307</v>
      </c>
      <c r="O19" s="316">
        <v>45456</v>
      </c>
      <c r="P19" s="316">
        <v>48216</v>
      </c>
      <c r="Q19" s="316">
        <v>51541</v>
      </c>
      <c r="R19" s="316">
        <v>47223</v>
      </c>
      <c r="S19" s="317">
        <f t="shared" si="0"/>
        <v>-8.3777963174948095E-2</v>
      </c>
    </row>
    <row r="20" spans="1:19" x14ac:dyDescent="0.25">
      <c r="A20" s="162" t="s">
        <v>327</v>
      </c>
      <c r="B20" s="168">
        <v>24946</v>
      </c>
      <c r="C20" s="168">
        <v>26599</v>
      </c>
      <c r="D20" s="168">
        <v>38235</v>
      </c>
      <c r="E20" s="168">
        <v>46535</v>
      </c>
      <c r="F20" s="168">
        <v>50374</v>
      </c>
      <c r="G20" s="168">
        <v>50551</v>
      </c>
      <c r="H20" s="168">
        <v>43327</v>
      </c>
      <c r="I20" s="168">
        <v>33395</v>
      </c>
      <c r="J20" s="168">
        <v>41713</v>
      </c>
      <c r="K20" s="168">
        <v>38697</v>
      </c>
      <c r="L20" s="168">
        <v>42257</v>
      </c>
      <c r="M20" s="168">
        <v>38357</v>
      </c>
      <c r="N20" s="168">
        <v>43566</v>
      </c>
      <c r="O20" s="168">
        <v>49266</v>
      </c>
      <c r="P20" s="168">
        <v>48628</v>
      </c>
      <c r="Q20" s="168">
        <v>51195</v>
      </c>
      <c r="R20" s="107">
        <v>54504</v>
      </c>
      <c r="S20" s="315">
        <f t="shared" si="0"/>
        <v>6.463521828303545E-2</v>
      </c>
    </row>
    <row r="21" spans="1:19" x14ac:dyDescent="0.25">
      <c r="A21" s="252" t="s">
        <v>328</v>
      </c>
      <c r="B21" s="316">
        <v>73086</v>
      </c>
      <c r="C21" s="316">
        <v>66404</v>
      </c>
      <c r="D21" s="316">
        <v>64657</v>
      </c>
      <c r="E21" s="316">
        <v>61505</v>
      </c>
      <c r="F21" s="316">
        <v>68018</v>
      </c>
      <c r="G21" s="316">
        <v>52893</v>
      </c>
      <c r="H21" s="316">
        <v>54863</v>
      </c>
      <c r="I21" s="316">
        <v>44622</v>
      </c>
      <c r="J21" s="316">
        <v>42707</v>
      </c>
      <c r="K21" s="316">
        <v>37555</v>
      </c>
      <c r="L21" s="316">
        <v>35661</v>
      </c>
      <c r="M21" s="316">
        <v>33201</v>
      </c>
      <c r="N21" s="316">
        <v>40258</v>
      </c>
      <c r="O21" s="316">
        <v>35640</v>
      </c>
      <c r="P21" s="316">
        <v>46521</v>
      </c>
      <c r="Q21" s="316">
        <v>47271</v>
      </c>
      <c r="R21" s="316">
        <v>51949</v>
      </c>
      <c r="S21" s="317">
        <f t="shared" si="0"/>
        <v>9.8961308201645823E-2</v>
      </c>
    </row>
    <row r="22" spans="1:19" x14ac:dyDescent="0.25">
      <c r="A22" s="162" t="s">
        <v>42</v>
      </c>
      <c r="B22" s="168">
        <v>51901</v>
      </c>
      <c r="C22" s="168">
        <v>42902</v>
      </c>
      <c r="D22" s="168">
        <v>43814</v>
      </c>
      <c r="E22" s="168">
        <v>48695</v>
      </c>
      <c r="F22" s="168">
        <v>61195</v>
      </c>
      <c r="G22" s="168">
        <v>49642</v>
      </c>
      <c r="H22" s="168">
        <v>43399</v>
      </c>
      <c r="I22" s="168">
        <v>37661</v>
      </c>
      <c r="J22" s="168">
        <v>33395</v>
      </c>
      <c r="K22" s="168">
        <v>29042</v>
      </c>
      <c r="L22" s="168">
        <v>27734</v>
      </c>
      <c r="M22" s="168">
        <v>27060</v>
      </c>
      <c r="N22" s="168">
        <v>29975</v>
      </c>
      <c r="O22" s="168">
        <v>36002</v>
      </c>
      <c r="P22" s="168">
        <v>41260</v>
      </c>
      <c r="Q22" s="168">
        <v>44055</v>
      </c>
      <c r="R22" s="107">
        <v>50663</v>
      </c>
      <c r="S22" s="315">
        <f t="shared" si="0"/>
        <v>0.14999432527522416</v>
      </c>
    </row>
    <row r="23" spans="1:19" x14ac:dyDescent="0.25">
      <c r="A23" s="252" t="s">
        <v>329</v>
      </c>
      <c r="B23" s="316">
        <v>32388</v>
      </c>
      <c r="C23" s="316">
        <v>29538</v>
      </c>
      <c r="D23" s="316">
        <v>29428</v>
      </c>
      <c r="E23" s="316">
        <v>32921</v>
      </c>
      <c r="F23" s="316">
        <v>33802</v>
      </c>
      <c r="G23" s="316">
        <v>31804</v>
      </c>
      <c r="H23" s="316">
        <v>28188</v>
      </c>
      <c r="I23" s="316">
        <v>28357</v>
      </c>
      <c r="J23" s="316">
        <v>28042</v>
      </c>
      <c r="K23" s="316">
        <v>25533</v>
      </c>
      <c r="L23" s="316">
        <v>24418</v>
      </c>
      <c r="M23" s="316">
        <v>24716</v>
      </c>
      <c r="N23" s="316">
        <v>28687</v>
      </c>
      <c r="O23" s="316">
        <v>31252</v>
      </c>
      <c r="P23" s="316">
        <v>30293</v>
      </c>
      <c r="Q23" s="316">
        <v>31370</v>
      </c>
      <c r="R23" s="316">
        <v>31594</v>
      </c>
      <c r="S23" s="317">
        <f t="shared" si="0"/>
        <v>7.1405801721389859E-3</v>
      </c>
    </row>
    <row r="24" spans="1:19" x14ac:dyDescent="0.25">
      <c r="A24" s="162" t="s">
        <v>40</v>
      </c>
      <c r="B24" s="168">
        <v>20138</v>
      </c>
      <c r="C24" s="168">
        <v>28668</v>
      </c>
      <c r="D24" s="168">
        <v>32126</v>
      </c>
      <c r="E24" s="168">
        <v>33439</v>
      </c>
      <c r="F24" s="168">
        <v>45289</v>
      </c>
      <c r="G24" s="168">
        <v>49927</v>
      </c>
      <c r="H24" s="168">
        <v>48128</v>
      </c>
      <c r="I24" s="168">
        <v>43290</v>
      </c>
      <c r="J24" s="168">
        <v>27799</v>
      </c>
      <c r="K24" s="168">
        <v>27674</v>
      </c>
      <c r="L24" s="168">
        <v>27050</v>
      </c>
      <c r="M24" s="168">
        <v>20629</v>
      </c>
      <c r="N24" s="168">
        <v>19529</v>
      </c>
      <c r="O24" s="168">
        <v>18815</v>
      </c>
      <c r="P24" s="168">
        <v>19252</v>
      </c>
      <c r="Q24" s="168">
        <v>17870</v>
      </c>
      <c r="R24" s="107">
        <v>18253</v>
      </c>
      <c r="S24" s="315">
        <f t="shared" si="0"/>
        <v>2.1432568550643537E-2</v>
      </c>
    </row>
    <row r="25" spans="1:19" x14ac:dyDescent="0.25">
      <c r="A25" s="252" t="s">
        <v>330</v>
      </c>
      <c r="B25" s="316">
        <v>18454</v>
      </c>
      <c r="C25" s="316">
        <v>21593</v>
      </c>
      <c r="D25" s="316">
        <v>25693</v>
      </c>
      <c r="E25" s="316">
        <v>24719</v>
      </c>
      <c r="F25" s="316">
        <v>24643</v>
      </c>
      <c r="G25" s="316">
        <v>21945</v>
      </c>
      <c r="H25" s="316">
        <v>20158</v>
      </c>
      <c r="I25" s="316">
        <v>21247</v>
      </c>
      <c r="J25" s="316">
        <v>22322</v>
      </c>
      <c r="K25" s="316">
        <v>19509</v>
      </c>
      <c r="L25" s="316">
        <v>18668</v>
      </c>
      <c r="M25" s="316">
        <v>19431</v>
      </c>
      <c r="N25" s="316">
        <v>20541</v>
      </c>
      <c r="O25" s="316">
        <v>21277</v>
      </c>
      <c r="P25" s="316">
        <v>21520</v>
      </c>
      <c r="Q25" s="316">
        <v>21839</v>
      </c>
      <c r="R25" s="316">
        <v>22402</v>
      </c>
      <c r="S25" s="317">
        <f t="shared" si="0"/>
        <v>2.5779568661568754E-2</v>
      </c>
    </row>
    <row r="26" spans="1:19" x14ac:dyDescent="0.25">
      <c r="A26" s="162" t="s">
        <v>41</v>
      </c>
      <c r="B26" s="168">
        <v>19654</v>
      </c>
      <c r="C26" s="168">
        <v>21608</v>
      </c>
      <c r="D26" s="168">
        <v>24481</v>
      </c>
      <c r="E26" s="168">
        <v>24896</v>
      </c>
      <c r="F26" s="168">
        <v>25701</v>
      </c>
      <c r="G26" s="168">
        <v>26676</v>
      </c>
      <c r="H26" s="168">
        <v>30948</v>
      </c>
      <c r="I26" s="168">
        <v>26522</v>
      </c>
      <c r="J26" s="168">
        <v>21494</v>
      </c>
      <c r="K26" s="168">
        <v>16111</v>
      </c>
      <c r="L26" s="168">
        <v>16977</v>
      </c>
      <c r="M26" s="168">
        <v>15986</v>
      </c>
      <c r="N26" s="168">
        <v>13533</v>
      </c>
      <c r="O26" s="168">
        <v>14472</v>
      </c>
      <c r="P26" s="168">
        <v>16023</v>
      </c>
      <c r="Q26" s="168">
        <v>16855</v>
      </c>
      <c r="R26" s="107">
        <v>17679</v>
      </c>
      <c r="S26" s="315">
        <f t="shared" si="0"/>
        <v>4.8887570453871258E-2</v>
      </c>
    </row>
    <row r="27" spans="1:19" x14ac:dyDescent="0.25">
      <c r="A27" s="252" t="s">
        <v>331</v>
      </c>
      <c r="B27" s="316">
        <v>17542</v>
      </c>
      <c r="C27" s="316">
        <v>19067</v>
      </c>
      <c r="D27" s="316">
        <v>20792</v>
      </c>
      <c r="E27" s="316">
        <v>21364</v>
      </c>
      <c r="F27" s="316">
        <v>20427</v>
      </c>
      <c r="G27" s="316">
        <v>20109</v>
      </c>
      <c r="H27" s="316">
        <v>19741</v>
      </c>
      <c r="I27" s="316">
        <v>19256</v>
      </c>
      <c r="J27" s="316">
        <v>19455</v>
      </c>
      <c r="K27" s="316">
        <v>16932</v>
      </c>
      <c r="L27" s="316">
        <v>12891</v>
      </c>
      <c r="M27" s="316">
        <v>14989</v>
      </c>
      <c r="N27" s="316">
        <v>15800</v>
      </c>
      <c r="O27" s="316">
        <v>17296</v>
      </c>
      <c r="P27" s="316">
        <v>17757</v>
      </c>
      <c r="Q27" s="316">
        <v>22033</v>
      </c>
      <c r="R27" s="316">
        <v>22612</v>
      </c>
      <c r="S27" s="317">
        <f t="shared" si="0"/>
        <v>2.627876367267281E-2</v>
      </c>
    </row>
    <row r="28" spans="1:19" x14ac:dyDescent="0.25">
      <c r="A28" s="162" t="s">
        <v>332</v>
      </c>
      <c r="B28" s="168">
        <v>12621</v>
      </c>
      <c r="C28" s="168">
        <v>12945</v>
      </c>
      <c r="D28" s="168">
        <v>15625</v>
      </c>
      <c r="E28" s="168">
        <v>17406</v>
      </c>
      <c r="F28" s="168">
        <v>18730</v>
      </c>
      <c r="G28" s="168">
        <v>17719</v>
      </c>
      <c r="H28" s="168">
        <v>16236</v>
      </c>
      <c r="I28" s="168">
        <v>17378</v>
      </c>
      <c r="J28" s="168">
        <v>16283</v>
      </c>
      <c r="K28" s="168">
        <v>13693</v>
      </c>
      <c r="L28" s="168">
        <v>13306</v>
      </c>
      <c r="M28" s="168">
        <v>14811</v>
      </c>
      <c r="N28" s="168">
        <v>14683</v>
      </c>
      <c r="O28" s="168">
        <v>15635</v>
      </c>
      <c r="P28" s="168">
        <v>16078</v>
      </c>
      <c r="Q28" s="168">
        <v>17558</v>
      </c>
      <c r="R28" s="107">
        <v>17199</v>
      </c>
      <c r="S28" s="315">
        <f t="shared" si="0"/>
        <v>-2.0446520104795536E-2</v>
      </c>
    </row>
    <row r="29" spans="1:19" x14ac:dyDescent="0.25">
      <c r="A29" s="252" t="s">
        <v>333</v>
      </c>
      <c r="B29" s="316">
        <v>12867</v>
      </c>
      <c r="C29" s="316">
        <v>14198</v>
      </c>
      <c r="D29" s="316">
        <v>17535</v>
      </c>
      <c r="E29" s="316">
        <v>17987</v>
      </c>
      <c r="F29" s="316">
        <v>19149</v>
      </c>
      <c r="G29" s="316">
        <v>18371</v>
      </c>
      <c r="H29" s="316">
        <v>16033</v>
      </c>
      <c r="I29" s="316">
        <v>16538</v>
      </c>
      <c r="J29" s="316">
        <v>15348</v>
      </c>
      <c r="K29" s="316">
        <v>13252</v>
      </c>
      <c r="L29" s="316">
        <v>10407</v>
      </c>
      <c r="M29" s="316">
        <v>11715</v>
      </c>
      <c r="N29" s="316">
        <v>10758</v>
      </c>
      <c r="O29" s="316">
        <v>11928</v>
      </c>
      <c r="P29" s="316">
        <v>13005</v>
      </c>
      <c r="Q29" s="316">
        <v>12444</v>
      </c>
      <c r="R29" s="316">
        <v>13406</v>
      </c>
      <c r="S29" s="317">
        <f t="shared" si="0"/>
        <v>7.7306332369013173E-2</v>
      </c>
    </row>
    <row r="30" spans="1:19" x14ac:dyDescent="0.25">
      <c r="A30" s="162" t="s">
        <v>334</v>
      </c>
      <c r="B30" s="318" t="s">
        <v>335</v>
      </c>
      <c r="C30" s="318" t="s">
        <v>335</v>
      </c>
      <c r="D30" s="168">
        <v>15897</v>
      </c>
      <c r="E30" s="168">
        <v>14466</v>
      </c>
      <c r="F30" s="168">
        <v>12594</v>
      </c>
      <c r="G30" s="168">
        <v>15975</v>
      </c>
      <c r="H30" s="168">
        <v>13069</v>
      </c>
      <c r="I30" s="168">
        <v>12964</v>
      </c>
      <c r="J30" s="168">
        <v>14431</v>
      </c>
      <c r="K30" s="168">
        <v>12792</v>
      </c>
      <c r="L30" s="168">
        <v>11167</v>
      </c>
      <c r="M30" s="168">
        <v>11323</v>
      </c>
      <c r="N30" s="168">
        <v>13148</v>
      </c>
      <c r="O30" s="168">
        <v>12935</v>
      </c>
      <c r="P30" s="168">
        <v>12259</v>
      </c>
      <c r="Q30" s="168">
        <v>11954</v>
      </c>
      <c r="R30" s="107">
        <v>13359</v>
      </c>
      <c r="S30" s="315">
        <f t="shared" si="0"/>
        <v>0.11753387987284591</v>
      </c>
    </row>
    <row r="31" spans="1:19" x14ac:dyDescent="0.25">
      <c r="A31" s="252" t="s">
        <v>336</v>
      </c>
      <c r="B31" s="316">
        <v>14918</v>
      </c>
      <c r="C31" s="316">
        <v>15046</v>
      </c>
      <c r="D31" s="316">
        <v>18269</v>
      </c>
      <c r="E31" s="316">
        <v>18451</v>
      </c>
      <c r="F31" s="316">
        <v>20141</v>
      </c>
      <c r="G31" s="316">
        <v>18280</v>
      </c>
      <c r="H31" s="316">
        <v>15391</v>
      </c>
      <c r="I31" s="316">
        <v>16110</v>
      </c>
      <c r="J31" s="316">
        <v>14946</v>
      </c>
      <c r="K31" s="316">
        <v>12642</v>
      </c>
      <c r="L31" s="316">
        <v>10593</v>
      </c>
      <c r="M31" s="316">
        <v>10759</v>
      </c>
      <c r="N31" s="316">
        <v>10278</v>
      </c>
      <c r="O31" s="316">
        <v>11737</v>
      </c>
      <c r="P31" s="316">
        <v>12218</v>
      </c>
      <c r="Q31" s="316">
        <v>11946</v>
      </c>
      <c r="R31" s="316">
        <v>11777</v>
      </c>
      <c r="S31" s="317">
        <f t="shared" si="0"/>
        <v>-1.4146994809978235E-2</v>
      </c>
    </row>
    <row r="32" spans="1:19" x14ac:dyDescent="0.25">
      <c r="A32" s="162" t="s">
        <v>337</v>
      </c>
      <c r="B32" s="168">
        <v>12804</v>
      </c>
      <c r="C32" s="168">
        <v>13584</v>
      </c>
      <c r="D32" s="168">
        <v>15746</v>
      </c>
      <c r="E32" s="168">
        <v>17583</v>
      </c>
      <c r="F32" s="168">
        <v>21822</v>
      </c>
      <c r="G32" s="168">
        <v>19279</v>
      </c>
      <c r="H32" s="168">
        <v>16300</v>
      </c>
      <c r="I32" s="168">
        <v>13841</v>
      </c>
      <c r="J32" s="168">
        <v>13142</v>
      </c>
      <c r="K32" s="168">
        <v>11375</v>
      </c>
      <c r="L32" s="168">
        <v>10563</v>
      </c>
      <c r="M32" s="168">
        <v>10348</v>
      </c>
      <c r="N32" s="168">
        <v>11089</v>
      </c>
      <c r="O32" s="168">
        <v>11331</v>
      </c>
      <c r="P32" s="168">
        <v>12539</v>
      </c>
      <c r="Q32" s="168">
        <v>13714</v>
      </c>
      <c r="R32" s="107">
        <v>14529</v>
      </c>
      <c r="S32" s="315">
        <f t="shared" si="0"/>
        <v>5.942832142336299E-2</v>
      </c>
    </row>
    <row r="33" spans="1:19" x14ac:dyDescent="0.25">
      <c r="A33" s="252" t="s">
        <v>338</v>
      </c>
      <c r="B33" s="316">
        <v>11326</v>
      </c>
      <c r="C33" s="316">
        <v>11643</v>
      </c>
      <c r="D33" s="316">
        <v>16148</v>
      </c>
      <c r="E33" s="316">
        <v>15195</v>
      </c>
      <c r="F33" s="316">
        <v>16998</v>
      </c>
      <c r="G33" s="316">
        <v>19198</v>
      </c>
      <c r="H33" s="316">
        <v>18753</v>
      </c>
      <c r="I33" s="316">
        <v>16667</v>
      </c>
      <c r="J33" s="316">
        <v>17072</v>
      </c>
      <c r="K33" s="316">
        <v>15148</v>
      </c>
      <c r="L33" s="316">
        <v>12261</v>
      </c>
      <c r="M33" s="316">
        <v>10333</v>
      </c>
      <c r="N33" s="316">
        <v>10796</v>
      </c>
      <c r="O33" s="316">
        <v>9822</v>
      </c>
      <c r="P33" s="316">
        <v>10989</v>
      </c>
      <c r="Q33" s="316">
        <v>11258</v>
      </c>
      <c r="R33" s="316">
        <v>11238</v>
      </c>
      <c r="S33" s="317">
        <f t="shared" si="0"/>
        <v>-1.7765144785930006E-3</v>
      </c>
    </row>
    <row r="34" spans="1:19" x14ac:dyDescent="0.25">
      <c r="A34" s="162" t="s">
        <v>339</v>
      </c>
      <c r="B34" s="168">
        <v>13453</v>
      </c>
      <c r="C34" s="168">
        <v>15458</v>
      </c>
      <c r="D34" s="168">
        <v>18855</v>
      </c>
      <c r="E34" s="168">
        <v>19655</v>
      </c>
      <c r="F34" s="168">
        <v>19999</v>
      </c>
      <c r="G34" s="168">
        <v>17934</v>
      </c>
      <c r="H34" s="168">
        <v>15696</v>
      </c>
      <c r="I34" s="168">
        <v>14937</v>
      </c>
      <c r="J34" s="168">
        <v>14130</v>
      </c>
      <c r="K34" s="168">
        <v>11181</v>
      </c>
      <c r="L34" s="168">
        <v>10635</v>
      </c>
      <c r="M34" s="168">
        <v>9914</v>
      </c>
      <c r="N34" s="168">
        <v>9580</v>
      </c>
      <c r="O34" s="168">
        <v>11557</v>
      </c>
      <c r="P34" s="168">
        <v>12479</v>
      </c>
      <c r="Q34" s="168">
        <v>12526</v>
      </c>
      <c r="R34" s="107">
        <v>11524</v>
      </c>
      <c r="S34" s="315">
        <f t="shared" si="0"/>
        <v>-7.999361328436852E-2</v>
      </c>
    </row>
    <row r="35" spans="1:19" x14ac:dyDescent="0.25">
      <c r="A35" s="252" t="s">
        <v>340</v>
      </c>
      <c r="B35" s="316">
        <v>9892</v>
      </c>
      <c r="C35" s="316">
        <v>12003</v>
      </c>
      <c r="D35" s="316">
        <v>16937</v>
      </c>
      <c r="E35" s="316">
        <v>18141</v>
      </c>
      <c r="F35" s="316">
        <v>20104</v>
      </c>
      <c r="G35" s="316">
        <v>19339</v>
      </c>
      <c r="H35" s="316">
        <v>15900</v>
      </c>
      <c r="I35" s="316">
        <v>13474</v>
      </c>
      <c r="J35" s="316">
        <v>12712</v>
      </c>
      <c r="K35" s="316">
        <v>11580</v>
      </c>
      <c r="L35" s="316">
        <v>10029</v>
      </c>
      <c r="M35" s="316">
        <v>9081</v>
      </c>
      <c r="N35" s="316">
        <v>8545</v>
      </c>
      <c r="O35" s="316">
        <v>8272</v>
      </c>
      <c r="P35" s="316">
        <v>8615</v>
      </c>
      <c r="Q35" s="316">
        <v>9179</v>
      </c>
      <c r="R35" s="263">
        <v>222</v>
      </c>
      <c r="S35" s="317">
        <f t="shared" si="0"/>
        <v>-0.97581435886262125</v>
      </c>
    </row>
    <row r="36" spans="1:19" x14ac:dyDescent="0.25">
      <c r="A36" s="162" t="s">
        <v>341</v>
      </c>
      <c r="B36" s="168">
        <v>9017</v>
      </c>
      <c r="C36" s="168">
        <v>9098</v>
      </c>
      <c r="D36" s="168">
        <v>9296</v>
      </c>
      <c r="E36" s="168">
        <v>10696</v>
      </c>
      <c r="F36" s="168">
        <v>11146</v>
      </c>
      <c r="G36" s="168">
        <v>10959</v>
      </c>
      <c r="H36" s="168">
        <v>9245</v>
      </c>
      <c r="I36" s="168">
        <v>8935</v>
      </c>
      <c r="J36" s="168">
        <v>9119</v>
      </c>
      <c r="K36" s="168">
        <v>9922</v>
      </c>
      <c r="L36" s="168">
        <v>7893</v>
      </c>
      <c r="M36" s="168">
        <v>8873</v>
      </c>
      <c r="N36" s="168">
        <v>8409</v>
      </c>
      <c r="O36" s="168">
        <v>8535</v>
      </c>
      <c r="P36" s="168">
        <v>7956</v>
      </c>
      <c r="Q36" s="168">
        <v>8085</v>
      </c>
      <c r="R36" s="107">
        <v>9768</v>
      </c>
      <c r="S36" s="315">
        <f t="shared" si="0"/>
        <v>0.20816326530612245</v>
      </c>
    </row>
    <row r="37" spans="1:19" x14ac:dyDescent="0.25">
      <c r="A37" s="252" t="s">
        <v>342</v>
      </c>
      <c r="B37" s="316">
        <v>10748</v>
      </c>
      <c r="C37" s="316">
        <v>9386</v>
      </c>
      <c r="D37" s="316">
        <v>9906</v>
      </c>
      <c r="E37" s="316">
        <v>11408</v>
      </c>
      <c r="F37" s="316">
        <v>14757</v>
      </c>
      <c r="G37" s="316">
        <v>14584</v>
      </c>
      <c r="H37" s="316">
        <v>12746</v>
      </c>
      <c r="I37" s="316">
        <v>12711</v>
      </c>
      <c r="J37" s="316">
        <v>11970</v>
      </c>
      <c r="K37" s="316">
        <v>9268</v>
      </c>
      <c r="L37" s="316">
        <v>7597</v>
      </c>
      <c r="M37" s="316">
        <v>7039</v>
      </c>
      <c r="N37" s="316">
        <v>7051</v>
      </c>
      <c r="O37" s="316">
        <v>7269</v>
      </c>
      <c r="P37" s="316">
        <v>7965</v>
      </c>
      <c r="Q37" s="316">
        <v>8991</v>
      </c>
      <c r="R37" s="316">
        <v>8772</v>
      </c>
      <c r="S37" s="317">
        <f t="shared" si="0"/>
        <v>-2.435769102435769E-2</v>
      </c>
    </row>
    <row r="38" spans="1:19" x14ac:dyDescent="0.25">
      <c r="A38" s="162" t="s">
        <v>343</v>
      </c>
      <c r="B38" s="168">
        <v>8097</v>
      </c>
      <c r="C38" s="168">
        <v>8792</v>
      </c>
      <c r="D38" s="168">
        <v>9390</v>
      </c>
      <c r="E38" s="168">
        <v>9221</v>
      </c>
      <c r="F38" s="168">
        <v>10900</v>
      </c>
      <c r="G38" s="168">
        <v>9604</v>
      </c>
      <c r="H38" s="168">
        <v>8627</v>
      </c>
      <c r="I38" s="168">
        <v>7074</v>
      </c>
      <c r="J38" s="168">
        <v>7273</v>
      </c>
      <c r="K38" s="168">
        <v>6330</v>
      </c>
      <c r="L38" s="168">
        <v>5812</v>
      </c>
      <c r="M38" s="168">
        <v>6555</v>
      </c>
      <c r="N38" s="168">
        <v>6737</v>
      </c>
      <c r="O38" s="168">
        <v>7335</v>
      </c>
      <c r="P38" s="168">
        <v>7741</v>
      </c>
      <c r="Q38" s="168">
        <v>7670</v>
      </c>
      <c r="R38" s="107">
        <v>10828</v>
      </c>
      <c r="S38" s="315">
        <f t="shared" si="0"/>
        <v>0.41173402868318121</v>
      </c>
    </row>
    <row r="39" spans="1:19" x14ac:dyDescent="0.25">
      <c r="A39" s="252" t="s">
        <v>344</v>
      </c>
      <c r="B39" s="316">
        <v>8879</v>
      </c>
      <c r="C39" s="316">
        <v>9107</v>
      </c>
      <c r="D39" s="316">
        <v>11007</v>
      </c>
      <c r="E39" s="316">
        <v>12077</v>
      </c>
      <c r="F39" s="316">
        <v>12736</v>
      </c>
      <c r="G39" s="316">
        <v>12282</v>
      </c>
      <c r="H39" s="316">
        <v>9744</v>
      </c>
      <c r="I39" s="316">
        <v>9576</v>
      </c>
      <c r="J39" s="316">
        <v>9560</v>
      </c>
      <c r="K39" s="316">
        <v>9016</v>
      </c>
      <c r="L39" s="316">
        <v>6237</v>
      </c>
      <c r="M39" s="316">
        <v>6056</v>
      </c>
      <c r="N39" s="316">
        <v>6807</v>
      </c>
      <c r="O39" s="316">
        <v>6950</v>
      </c>
      <c r="P39" s="316">
        <v>6925</v>
      </c>
      <c r="Q39" s="316">
        <v>6415</v>
      </c>
      <c r="R39" s="316">
        <v>6473</v>
      </c>
      <c r="S39" s="317">
        <f t="shared" si="0"/>
        <v>9.0413094310210444E-3</v>
      </c>
    </row>
    <row r="40" spans="1:19" x14ac:dyDescent="0.25">
      <c r="A40" s="162" t="s">
        <v>345</v>
      </c>
      <c r="B40" s="168">
        <v>13291</v>
      </c>
      <c r="C40" s="168">
        <v>12927</v>
      </c>
      <c r="D40" s="168">
        <v>11578</v>
      </c>
      <c r="E40" s="168">
        <v>12351</v>
      </c>
      <c r="F40" s="168">
        <v>12266</v>
      </c>
      <c r="G40" s="168">
        <v>12225</v>
      </c>
      <c r="H40" s="168">
        <v>9489</v>
      </c>
      <c r="I40" s="168">
        <v>6742</v>
      </c>
      <c r="J40" s="168">
        <v>7582</v>
      </c>
      <c r="K40" s="168">
        <v>6858</v>
      </c>
      <c r="L40" s="168">
        <v>5395</v>
      </c>
      <c r="M40" s="168">
        <v>5890</v>
      </c>
      <c r="N40" s="168">
        <v>6840</v>
      </c>
      <c r="O40" s="168">
        <v>6692</v>
      </c>
      <c r="P40" s="168">
        <v>8434</v>
      </c>
      <c r="Q40" s="168">
        <v>9755</v>
      </c>
      <c r="R40" s="107">
        <v>10798</v>
      </c>
      <c r="S40" s="315">
        <f t="shared" si="0"/>
        <v>0.10691952844695028</v>
      </c>
    </row>
    <row r="41" spans="1:19" x14ac:dyDescent="0.25">
      <c r="A41" s="252" t="s">
        <v>346</v>
      </c>
      <c r="B41" s="316">
        <v>9746</v>
      </c>
      <c r="C41" s="316">
        <v>10361</v>
      </c>
      <c r="D41" s="316">
        <v>10482</v>
      </c>
      <c r="E41" s="316">
        <v>11419</v>
      </c>
      <c r="F41" s="316">
        <v>13442</v>
      </c>
      <c r="G41" s="316">
        <v>12971</v>
      </c>
      <c r="H41" s="316">
        <v>11681</v>
      </c>
      <c r="I41" s="316">
        <v>10453</v>
      </c>
      <c r="J41" s="316">
        <v>9604</v>
      </c>
      <c r="K41" s="316">
        <v>7522</v>
      </c>
      <c r="L41" s="316">
        <v>5842</v>
      </c>
      <c r="M41" s="316">
        <v>5458</v>
      </c>
      <c r="N41" s="316">
        <v>5702</v>
      </c>
      <c r="O41" s="316">
        <v>5371</v>
      </c>
      <c r="P41" s="316">
        <v>5683</v>
      </c>
      <c r="Q41" s="316">
        <v>6422</v>
      </c>
      <c r="R41" s="316">
        <v>6136</v>
      </c>
      <c r="S41" s="317">
        <f t="shared" si="0"/>
        <v>-4.4534412955465584E-2</v>
      </c>
    </row>
    <row r="42" spans="1:19" x14ac:dyDescent="0.25">
      <c r="A42" s="162" t="s">
        <v>347</v>
      </c>
      <c r="B42" s="168">
        <v>11417</v>
      </c>
      <c r="C42" s="168">
        <v>9979</v>
      </c>
      <c r="D42" s="168">
        <v>8930</v>
      </c>
      <c r="E42" s="168">
        <v>8658</v>
      </c>
      <c r="F42" s="168">
        <v>10355</v>
      </c>
      <c r="G42" s="168">
        <v>12450</v>
      </c>
      <c r="H42" s="168">
        <v>12831</v>
      </c>
      <c r="I42" s="168">
        <v>12238</v>
      </c>
      <c r="J42" s="168">
        <v>12538</v>
      </c>
      <c r="K42" s="168">
        <v>9116</v>
      </c>
      <c r="L42" s="168">
        <v>6906</v>
      </c>
      <c r="M42" s="168">
        <v>5439</v>
      </c>
      <c r="N42" s="168">
        <v>8076</v>
      </c>
      <c r="O42" s="168">
        <v>9292</v>
      </c>
      <c r="P42" s="168">
        <v>10110</v>
      </c>
      <c r="Q42" s="168">
        <v>9584</v>
      </c>
      <c r="R42" s="107">
        <v>10129</v>
      </c>
      <c r="S42" s="315">
        <f t="shared" si="0"/>
        <v>5.686560934891486E-2</v>
      </c>
    </row>
    <row r="43" spans="1:19" x14ac:dyDescent="0.25">
      <c r="A43" s="252" t="s">
        <v>348</v>
      </c>
      <c r="B43" s="316">
        <v>8912</v>
      </c>
      <c r="C43" s="316">
        <v>11386</v>
      </c>
      <c r="D43" s="316">
        <v>12056</v>
      </c>
      <c r="E43" s="316">
        <v>11586</v>
      </c>
      <c r="F43" s="316">
        <v>14094</v>
      </c>
      <c r="G43" s="316">
        <v>13002</v>
      </c>
      <c r="H43" s="316">
        <v>9233</v>
      </c>
      <c r="I43" s="316">
        <v>8969</v>
      </c>
      <c r="J43" s="316">
        <v>9079</v>
      </c>
      <c r="K43" s="316">
        <v>6520</v>
      </c>
      <c r="L43" s="316">
        <v>4591</v>
      </c>
      <c r="M43" s="316">
        <v>4388</v>
      </c>
      <c r="N43" s="316">
        <v>4657</v>
      </c>
      <c r="O43" s="316">
        <v>4419</v>
      </c>
      <c r="P43" s="316">
        <v>5089</v>
      </c>
      <c r="Q43" s="316">
        <v>5032</v>
      </c>
      <c r="R43" s="316">
        <v>5670</v>
      </c>
      <c r="S43" s="317">
        <f t="shared" si="0"/>
        <v>0.12678855325914148</v>
      </c>
    </row>
    <row r="44" spans="1:19" x14ac:dyDescent="0.25">
      <c r="A44" s="162" t="s">
        <v>349</v>
      </c>
      <c r="B44" s="318">
        <v>3810</v>
      </c>
      <c r="C44" s="318">
        <v>4082</v>
      </c>
      <c r="D44" s="168">
        <v>4300</v>
      </c>
      <c r="E44" s="168">
        <v>4550</v>
      </c>
      <c r="F44" s="168">
        <v>4790</v>
      </c>
      <c r="G44" s="168">
        <v>4775</v>
      </c>
      <c r="H44" s="168">
        <v>4341</v>
      </c>
      <c r="I44" s="168">
        <v>4142</v>
      </c>
      <c r="J44" s="168">
        <v>4674</v>
      </c>
      <c r="K44" s="168">
        <v>4248</v>
      </c>
      <c r="L44" s="168">
        <v>3898</v>
      </c>
      <c r="M44" s="168">
        <v>3674</v>
      </c>
      <c r="N44" s="168">
        <v>3615</v>
      </c>
      <c r="O44" s="168">
        <v>3665</v>
      </c>
      <c r="P44" s="168">
        <v>4190</v>
      </c>
      <c r="Q44" s="168">
        <v>5114</v>
      </c>
      <c r="R44" s="107">
        <v>5374</v>
      </c>
      <c r="S44" s="315">
        <f t="shared" si="0"/>
        <v>5.0840829096597574E-2</v>
      </c>
    </row>
    <row r="45" spans="1:19" x14ac:dyDescent="0.25">
      <c r="A45" s="252" t="s">
        <v>350</v>
      </c>
      <c r="B45" s="316" t="s">
        <v>335</v>
      </c>
      <c r="C45" s="316" t="s">
        <v>335</v>
      </c>
      <c r="D45" s="316" t="s">
        <v>335</v>
      </c>
      <c r="E45" s="316" t="s">
        <v>335</v>
      </c>
      <c r="F45" s="263" t="s">
        <v>335</v>
      </c>
      <c r="G45" s="316">
        <v>1501</v>
      </c>
      <c r="H45" s="316">
        <v>3569</v>
      </c>
      <c r="I45" s="316">
        <v>3559</v>
      </c>
      <c r="J45" s="316">
        <v>3961</v>
      </c>
      <c r="K45" s="316">
        <v>2904</v>
      </c>
      <c r="L45" s="316">
        <v>2305</v>
      </c>
      <c r="M45" s="316">
        <v>2418</v>
      </c>
      <c r="N45" s="316">
        <v>2167</v>
      </c>
      <c r="O45" s="316">
        <v>1750</v>
      </c>
      <c r="P45" s="316">
        <v>2364</v>
      </c>
      <c r="Q45" s="316">
        <v>2111</v>
      </c>
      <c r="R45" s="316">
        <v>3221</v>
      </c>
      <c r="S45" s="317">
        <f t="shared" si="0"/>
        <v>0.5258171482709616</v>
      </c>
    </row>
    <row r="46" spans="1:19" x14ac:dyDescent="0.25">
      <c r="A46" s="162" t="s">
        <v>351</v>
      </c>
      <c r="B46" s="168">
        <v>10374</v>
      </c>
      <c r="C46" s="168">
        <v>8230</v>
      </c>
      <c r="D46" s="168">
        <v>4451</v>
      </c>
      <c r="E46" s="168">
        <v>4434</v>
      </c>
      <c r="F46" s="168">
        <v>4181</v>
      </c>
      <c r="G46" s="168">
        <v>4033</v>
      </c>
      <c r="H46" s="168">
        <v>3781</v>
      </c>
      <c r="I46" s="168">
        <v>3411</v>
      </c>
      <c r="J46" s="168">
        <v>2957</v>
      </c>
      <c r="K46" s="168">
        <v>2283</v>
      </c>
      <c r="L46" s="168">
        <v>1414</v>
      </c>
      <c r="M46" s="168">
        <v>1838</v>
      </c>
      <c r="N46" s="168">
        <v>1525</v>
      </c>
      <c r="O46" s="168">
        <v>1563</v>
      </c>
      <c r="P46" s="168">
        <v>1865</v>
      </c>
      <c r="Q46" s="168">
        <v>1983</v>
      </c>
      <c r="R46" s="107">
        <v>2880</v>
      </c>
      <c r="S46" s="315">
        <f t="shared" si="0"/>
        <v>0.45234493192133129</v>
      </c>
    </row>
    <row r="47" spans="1:19" x14ac:dyDescent="0.25">
      <c r="A47" s="252" t="s">
        <v>352</v>
      </c>
      <c r="B47" s="316">
        <v>3372</v>
      </c>
      <c r="C47" s="316">
        <v>3346</v>
      </c>
      <c r="D47" s="316">
        <v>3396</v>
      </c>
      <c r="E47" s="316">
        <v>3385</v>
      </c>
      <c r="F47" s="316">
        <v>3466</v>
      </c>
      <c r="G47" s="316">
        <v>3393</v>
      </c>
      <c r="H47" s="316">
        <v>1917</v>
      </c>
      <c r="I47" s="316">
        <v>1776</v>
      </c>
      <c r="J47" s="316">
        <v>1769</v>
      </c>
      <c r="K47" s="316">
        <v>1839</v>
      </c>
      <c r="L47" s="316">
        <v>1703</v>
      </c>
      <c r="M47" s="316">
        <v>1718</v>
      </c>
      <c r="N47" s="316">
        <v>1818</v>
      </c>
      <c r="O47" s="316">
        <v>1840</v>
      </c>
      <c r="P47" s="316">
        <v>1854</v>
      </c>
      <c r="Q47" s="316">
        <v>2652</v>
      </c>
      <c r="R47" s="316">
        <v>2844</v>
      </c>
      <c r="S47" s="317">
        <f t="shared" si="0"/>
        <v>7.2398190045248875E-2</v>
      </c>
    </row>
    <row r="48" spans="1:19" x14ac:dyDescent="0.25">
      <c r="A48" s="162" t="s">
        <v>353</v>
      </c>
      <c r="B48" s="168">
        <v>3148</v>
      </c>
      <c r="C48" s="168">
        <v>5241</v>
      </c>
      <c r="D48" s="168">
        <v>5279</v>
      </c>
      <c r="E48" s="168">
        <v>6305</v>
      </c>
      <c r="F48" s="168">
        <v>7333</v>
      </c>
      <c r="G48" s="168">
        <v>5705</v>
      </c>
      <c r="H48" s="168">
        <v>4767</v>
      </c>
      <c r="I48" s="168">
        <v>4770</v>
      </c>
      <c r="J48" s="168">
        <v>4461</v>
      </c>
      <c r="K48" s="168">
        <v>2630</v>
      </c>
      <c r="L48" s="168">
        <v>1962</v>
      </c>
      <c r="M48" s="168">
        <v>1396</v>
      </c>
      <c r="N48" s="168">
        <v>1885</v>
      </c>
      <c r="O48" s="168">
        <v>1814</v>
      </c>
      <c r="P48" s="168">
        <v>2236</v>
      </c>
      <c r="Q48" s="168">
        <v>2605</v>
      </c>
      <c r="R48" s="107">
        <v>2758</v>
      </c>
      <c r="S48" s="315">
        <f t="shared" si="0"/>
        <v>5.8733205374280228E-2</v>
      </c>
    </row>
    <row r="49" spans="1:20" x14ac:dyDescent="0.25">
      <c r="A49" s="252" t="s">
        <v>354</v>
      </c>
      <c r="B49" s="316">
        <v>1624</v>
      </c>
      <c r="C49" s="316">
        <v>2509</v>
      </c>
      <c r="D49" s="316">
        <v>3064</v>
      </c>
      <c r="E49" s="316">
        <v>3334</v>
      </c>
      <c r="F49" s="316">
        <v>3705</v>
      </c>
      <c r="G49" s="316">
        <v>3903</v>
      </c>
      <c r="H49" s="316">
        <v>5023</v>
      </c>
      <c r="I49" s="316">
        <v>3634</v>
      </c>
      <c r="J49" s="316">
        <v>2734</v>
      </c>
      <c r="K49" s="316">
        <v>2630</v>
      </c>
      <c r="L49" s="316">
        <v>1199</v>
      </c>
      <c r="M49" s="316">
        <v>1217</v>
      </c>
      <c r="N49" s="316">
        <v>1359</v>
      </c>
      <c r="O49" s="316">
        <v>1306</v>
      </c>
      <c r="P49" s="316">
        <v>1446</v>
      </c>
      <c r="Q49" s="316">
        <v>1376</v>
      </c>
      <c r="R49" s="316">
        <v>1420</v>
      </c>
      <c r="S49" s="317">
        <f t="shared" si="0"/>
        <v>3.1976744186046513E-2</v>
      </c>
    </row>
    <row r="50" spans="1:20" x14ac:dyDescent="0.25">
      <c r="A50" s="162" t="s">
        <v>355</v>
      </c>
      <c r="B50" s="318">
        <v>0</v>
      </c>
      <c r="C50" s="168">
        <v>1981</v>
      </c>
      <c r="D50" s="168">
        <v>2656</v>
      </c>
      <c r="E50" s="168">
        <v>2596</v>
      </c>
      <c r="F50" s="168">
        <v>2740</v>
      </c>
      <c r="G50" s="168">
        <v>2944</v>
      </c>
      <c r="H50" s="168">
        <v>2442</v>
      </c>
      <c r="I50" s="168">
        <v>3564</v>
      </c>
      <c r="J50" s="168">
        <v>5129</v>
      </c>
      <c r="K50" s="168">
        <v>2494</v>
      </c>
      <c r="L50" s="168">
        <v>1324</v>
      </c>
      <c r="M50" s="168">
        <v>1080</v>
      </c>
      <c r="N50" s="168">
        <v>281</v>
      </c>
      <c r="O50" s="168">
        <v>476</v>
      </c>
      <c r="P50" s="168">
        <v>2522</v>
      </c>
      <c r="Q50" s="168">
        <v>5214</v>
      </c>
      <c r="R50" s="107">
        <v>6846</v>
      </c>
      <c r="S50" s="315">
        <f t="shared" si="0"/>
        <v>0.31300345224395859</v>
      </c>
    </row>
    <row r="51" spans="1:20" x14ac:dyDescent="0.25">
      <c r="A51" s="252" t="s">
        <v>356</v>
      </c>
      <c r="B51" s="319" t="s">
        <v>335</v>
      </c>
      <c r="C51" s="319" t="s">
        <v>335</v>
      </c>
      <c r="D51" s="319" t="s">
        <v>335</v>
      </c>
      <c r="E51" s="319" t="s">
        <v>335</v>
      </c>
      <c r="F51" s="316">
        <v>9380</v>
      </c>
      <c r="G51" s="316">
        <v>19415</v>
      </c>
      <c r="H51" s="316">
        <v>21446</v>
      </c>
      <c r="I51" s="316">
        <v>11390</v>
      </c>
      <c r="J51" s="316">
        <v>3452</v>
      </c>
      <c r="K51" s="316">
        <v>2446</v>
      </c>
      <c r="L51" s="316">
        <v>1637</v>
      </c>
      <c r="M51" s="316">
        <v>885</v>
      </c>
      <c r="N51" s="316">
        <v>2633</v>
      </c>
      <c r="O51" s="316">
        <v>4684</v>
      </c>
      <c r="P51" s="316">
        <v>7762</v>
      </c>
      <c r="Q51" s="316">
        <v>9477</v>
      </c>
      <c r="R51" s="316">
        <v>9198</v>
      </c>
      <c r="S51" s="317">
        <f t="shared" si="0"/>
        <v>-2.9439696106362774E-2</v>
      </c>
    </row>
    <row r="52" spans="1:20" x14ac:dyDescent="0.25">
      <c r="A52" s="162" t="s">
        <v>357</v>
      </c>
      <c r="B52" s="168">
        <v>257</v>
      </c>
      <c r="C52" s="168">
        <v>1309</v>
      </c>
      <c r="D52" s="168">
        <v>1185</v>
      </c>
      <c r="E52" s="168">
        <v>1347</v>
      </c>
      <c r="F52" s="168">
        <v>1856</v>
      </c>
      <c r="G52" s="168">
        <v>2113</v>
      </c>
      <c r="H52" s="168">
        <v>1419</v>
      </c>
      <c r="I52" s="168">
        <v>1243</v>
      </c>
      <c r="J52" s="168">
        <v>937</v>
      </c>
      <c r="K52" s="168">
        <v>798</v>
      </c>
      <c r="L52" s="168">
        <v>473</v>
      </c>
      <c r="M52" s="168">
        <v>541</v>
      </c>
      <c r="N52" s="168">
        <v>411</v>
      </c>
      <c r="O52" s="168">
        <v>408</v>
      </c>
      <c r="P52" s="168">
        <v>432</v>
      </c>
      <c r="Q52" s="168">
        <v>423</v>
      </c>
      <c r="R52" s="107">
        <v>561</v>
      </c>
      <c r="S52" s="315">
        <f t="shared" si="0"/>
        <v>0.32624113475177308</v>
      </c>
    </row>
    <row r="53" spans="1:20" x14ac:dyDescent="0.25">
      <c r="A53" s="252" t="s">
        <v>358</v>
      </c>
      <c r="B53" s="319" t="s">
        <v>335</v>
      </c>
      <c r="C53" s="319" t="s">
        <v>335</v>
      </c>
      <c r="D53" s="319" t="s">
        <v>335</v>
      </c>
      <c r="E53" s="319" t="s">
        <v>335</v>
      </c>
      <c r="F53" s="319" t="s">
        <v>335</v>
      </c>
      <c r="G53" s="319" t="s">
        <v>335</v>
      </c>
      <c r="H53" s="319" t="s">
        <v>335</v>
      </c>
      <c r="I53" s="319">
        <v>1340</v>
      </c>
      <c r="J53" s="319">
        <v>2636</v>
      </c>
      <c r="K53" s="319">
        <v>1106</v>
      </c>
      <c r="L53" s="319">
        <v>682</v>
      </c>
      <c r="M53" s="316">
        <v>300</v>
      </c>
      <c r="N53" s="316">
        <v>28</v>
      </c>
      <c r="O53" s="316">
        <v>84</v>
      </c>
      <c r="P53" s="316">
        <v>1376</v>
      </c>
      <c r="Q53" s="316">
        <v>2992</v>
      </c>
      <c r="R53" s="316">
        <v>3328</v>
      </c>
      <c r="S53" s="317">
        <f t="shared" si="0"/>
        <v>0.11229946524064172</v>
      </c>
    </row>
    <row r="54" spans="1:20" x14ac:dyDescent="0.25">
      <c r="A54" s="162" t="s">
        <v>359</v>
      </c>
      <c r="B54" s="168">
        <v>9210</v>
      </c>
      <c r="C54" s="168">
        <v>11350</v>
      </c>
      <c r="D54" s="168">
        <v>13063</v>
      </c>
      <c r="E54" s="168">
        <v>15246</v>
      </c>
      <c r="F54" s="168">
        <v>17062</v>
      </c>
      <c r="G54" s="168">
        <v>15300</v>
      </c>
      <c r="H54" s="168">
        <v>11874</v>
      </c>
      <c r="I54" s="168">
        <v>12417</v>
      </c>
      <c r="J54" s="168">
        <v>11489</v>
      </c>
      <c r="K54" s="168">
        <v>11220</v>
      </c>
      <c r="L54" s="168">
        <v>764</v>
      </c>
      <c r="M54" s="168">
        <v>0</v>
      </c>
      <c r="N54" s="168">
        <v>0</v>
      </c>
      <c r="O54" s="168">
        <v>0</v>
      </c>
      <c r="P54" s="168">
        <v>0</v>
      </c>
      <c r="Q54" s="168">
        <v>0</v>
      </c>
      <c r="R54" s="261" t="s">
        <v>360</v>
      </c>
      <c r="S54" s="315"/>
      <c r="T54" s="318"/>
    </row>
    <row r="55" spans="1:20" x14ac:dyDescent="0.25">
      <c r="A55" s="252" t="s">
        <v>361</v>
      </c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>
        <v>7976</v>
      </c>
      <c r="S55" s="317"/>
      <c r="T55" s="318"/>
    </row>
    <row r="56" spans="1:20" x14ac:dyDescent="0.25">
      <c r="A56" s="320"/>
      <c r="B56" s="321"/>
      <c r="C56" s="321"/>
      <c r="D56" s="321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15"/>
    </row>
    <row r="57" spans="1:20" x14ac:dyDescent="0.25">
      <c r="A57" s="323" t="s">
        <v>35</v>
      </c>
      <c r="B57" s="324">
        <f t="shared" ref="B57:H57" si="1">SUM(B6:B53)</f>
        <v>1959614</v>
      </c>
      <c r="C57" s="324">
        <f t="shared" si="1"/>
        <v>2045610</v>
      </c>
      <c r="D57" s="324">
        <f t="shared" si="1"/>
        <v>2197386</v>
      </c>
      <c r="E57" s="324">
        <f t="shared" si="1"/>
        <v>2303279</v>
      </c>
      <c r="F57" s="324">
        <f t="shared" si="1"/>
        <v>2484475</v>
      </c>
      <c r="G57" s="324">
        <f t="shared" si="1"/>
        <v>2404772</v>
      </c>
      <c r="H57" s="324">
        <f t="shared" si="1"/>
        <v>2155731</v>
      </c>
      <c r="I57" s="324">
        <f>SUM(I6:I54)</f>
        <v>2116512</v>
      </c>
      <c r="J57" s="324">
        <v>2140308</v>
      </c>
      <c r="K57" s="324">
        <v>1924668</v>
      </c>
      <c r="L57" s="324">
        <v>1790861</v>
      </c>
      <c r="M57" s="324">
        <f>SUM(M6:M54)</f>
        <v>1832711</v>
      </c>
      <c r="N57" s="324">
        <v>1902967</v>
      </c>
      <c r="O57" s="324">
        <v>2045034</v>
      </c>
      <c r="P57" s="324">
        <v>2174263</v>
      </c>
      <c r="Q57" s="324">
        <v>2300189</v>
      </c>
      <c r="R57" s="324">
        <f>SUM(R6:R55)</f>
        <v>2361045</v>
      </c>
      <c r="S57" s="325">
        <f t="shared" si="0"/>
        <v>2.6456956363151027E-2</v>
      </c>
    </row>
    <row r="58" spans="1:20" s="327" customFormat="1" ht="13" x14ac:dyDescent="0.3">
      <c r="A58" s="194" t="s">
        <v>53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326"/>
    </row>
    <row r="59" spans="1:20" ht="7" customHeight="1" x14ac:dyDescent="0.25"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315"/>
    </row>
    <row r="60" spans="1:20" s="167" customFormat="1" ht="10" x14ac:dyDescent="0.2">
      <c r="A60" s="167" t="s">
        <v>362</v>
      </c>
      <c r="S60" s="328"/>
    </row>
    <row r="61" spans="1:20" s="167" customFormat="1" ht="10" x14ac:dyDescent="0.2">
      <c r="A61" s="167" t="s">
        <v>363</v>
      </c>
      <c r="S61" s="328"/>
    </row>
    <row r="62" spans="1:20" x14ac:dyDescent="0.25"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315"/>
    </row>
    <row r="63" spans="1:20" x14ac:dyDescent="0.25"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315"/>
    </row>
    <row r="64" spans="1:20" x14ac:dyDescent="0.25"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315"/>
    </row>
    <row r="65" spans="5:19" x14ac:dyDescent="0.25"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315"/>
    </row>
    <row r="66" spans="5:19" x14ac:dyDescent="0.25"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315"/>
    </row>
    <row r="67" spans="5:19" x14ac:dyDescent="0.25"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315"/>
    </row>
    <row r="68" spans="5:19" x14ac:dyDescent="0.25"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315"/>
    </row>
    <row r="69" spans="5:19" x14ac:dyDescent="0.25"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315"/>
    </row>
    <row r="70" spans="5:19" x14ac:dyDescent="0.25"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315"/>
    </row>
    <row r="71" spans="5:19" x14ac:dyDescent="0.25"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315"/>
    </row>
    <row r="72" spans="5:19" x14ac:dyDescent="0.25"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315"/>
    </row>
    <row r="73" spans="5:19" x14ac:dyDescent="0.25"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315"/>
    </row>
    <row r="74" spans="5:19" x14ac:dyDescent="0.25"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315"/>
    </row>
    <row r="75" spans="5:19" x14ac:dyDescent="0.25"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315"/>
    </row>
    <row r="76" spans="5:19" x14ac:dyDescent="0.25"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315"/>
    </row>
    <row r="77" spans="5:19" x14ac:dyDescent="0.25"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315"/>
    </row>
    <row r="78" spans="5:19" x14ac:dyDescent="0.25"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315"/>
    </row>
    <row r="79" spans="5:19" x14ac:dyDescent="0.25"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315"/>
    </row>
    <row r="80" spans="5:19" x14ac:dyDescent="0.25"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315"/>
    </row>
    <row r="81" spans="5:19" x14ac:dyDescent="0.25"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315"/>
    </row>
    <row r="82" spans="5:19" x14ac:dyDescent="0.25"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315"/>
    </row>
    <row r="83" spans="5:19" x14ac:dyDescent="0.25"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315"/>
    </row>
    <row r="84" spans="5:19" x14ac:dyDescent="0.25"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315"/>
    </row>
    <row r="85" spans="5:19" x14ac:dyDescent="0.25"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315"/>
    </row>
    <row r="86" spans="5:19" x14ac:dyDescent="0.25"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315"/>
    </row>
    <row r="87" spans="5:19" x14ac:dyDescent="0.25"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315"/>
    </row>
    <row r="88" spans="5:19" x14ac:dyDescent="0.25"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315"/>
    </row>
    <row r="89" spans="5:19" x14ac:dyDescent="0.25"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315"/>
    </row>
    <row r="90" spans="5:19" x14ac:dyDescent="0.25"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315"/>
    </row>
    <row r="91" spans="5:19" x14ac:dyDescent="0.25"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315"/>
    </row>
    <row r="92" spans="5:19" x14ac:dyDescent="0.25"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315"/>
    </row>
    <row r="93" spans="5:19" x14ac:dyDescent="0.25"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315"/>
    </row>
    <row r="94" spans="5:19" x14ac:dyDescent="0.25"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315"/>
    </row>
    <row r="95" spans="5:19" x14ac:dyDescent="0.25"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315"/>
    </row>
    <row r="96" spans="5:19" x14ac:dyDescent="0.25">
      <c r="S96" s="329"/>
    </row>
    <row r="97" spans="19:19" x14ac:dyDescent="0.25">
      <c r="S97" s="329"/>
    </row>
    <row r="98" spans="19:19" x14ac:dyDescent="0.25">
      <c r="S98" s="329"/>
    </row>
  </sheetData>
  <mergeCells count="1">
    <mergeCell ref="S3:S4"/>
  </mergeCells>
  <pageMargins left="0.70866141732283472" right="0.31496062992125984" top="0.74803149606299213" bottom="0.19685039370078741" header="0.31496062992125984" footer="0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1"/>
  <sheetViews>
    <sheetView zoomScaleNormal="100" workbookViewId="0">
      <selection activeCell="C10" sqref="C10"/>
    </sheetView>
  </sheetViews>
  <sheetFormatPr defaultColWidth="9.1796875" defaultRowHeight="12.5" x14ac:dyDescent="0.25"/>
  <cols>
    <col min="1" max="1" width="24.54296875" style="155" customWidth="1"/>
    <col min="2" max="5" width="11.453125" style="155" hidden="1" customWidth="1"/>
    <col min="6" max="18" width="11.453125" style="155" customWidth="1"/>
    <col min="19" max="19" width="8.81640625" style="155" customWidth="1"/>
    <col min="20" max="20" width="15.7265625" style="155" customWidth="1"/>
    <col min="21" max="256" width="9.1796875" style="155"/>
    <col min="257" max="257" width="24.54296875" style="155" customWidth="1"/>
    <col min="258" max="261" width="0" style="155" hidden="1" customWidth="1"/>
    <col min="262" max="274" width="11.453125" style="155" customWidth="1"/>
    <col min="275" max="275" width="8.81640625" style="155" customWidth="1"/>
    <col min="276" max="276" width="15.7265625" style="155" customWidth="1"/>
    <col min="277" max="512" width="9.1796875" style="155"/>
    <col min="513" max="513" width="24.54296875" style="155" customWidth="1"/>
    <col min="514" max="517" width="0" style="155" hidden="1" customWidth="1"/>
    <col min="518" max="530" width="11.453125" style="155" customWidth="1"/>
    <col min="531" max="531" width="8.81640625" style="155" customWidth="1"/>
    <col min="532" max="532" width="15.7265625" style="155" customWidth="1"/>
    <col min="533" max="768" width="9.1796875" style="155"/>
    <col min="769" max="769" width="24.54296875" style="155" customWidth="1"/>
    <col min="770" max="773" width="0" style="155" hidden="1" customWidth="1"/>
    <col min="774" max="786" width="11.453125" style="155" customWidth="1"/>
    <col min="787" max="787" width="8.81640625" style="155" customWidth="1"/>
    <col min="788" max="788" width="15.7265625" style="155" customWidth="1"/>
    <col min="789" max="1024" width="9.1796875" style="155"/>
    <col min="1025" max="1025" width="24.54296875" style="155" customWidth="1"/>
    <col min="1026" max="1029" width="0" style="155" hidden="1" customWidth="1"/>
    <col min="1030" max="1042" width="11.453125" style="155" customWidth="1"/>
    <col min="1043" max="1043" width="8.81640625" style="155" customWidth="1"/>
    <col min="1044" max="1044" width="15.7265625" style="155" customWidth="1"/>
    <col min="1045" max="1280" width="9.1796875" style="155"/>
    <col min="1281" max="1281" width="24.54296875" style="155" customWidth="1"/>
    <col min="1282" max="1285" width="0" style="155" hidden="1" customWidth="1"/>
    <col min="1286" max="1298" width="11.453125" style="155" customWidth="1"/>
    <col min="1299" max="1299" width="8.81640625" style="155" customWidth="1"/>
    <col min="1300" max="1300" width="15.7265625" style="155" customWidth="1"/>
    <col min="1301" max="1536" width="9.1796875" style="155"/>
    <col min="1537" max="1537" width="24.54296875" style="155" customWidth="1"/>
    <col min="1538" max="1541" width="0" style="155" hidden="1" customWidth="1"/>
    <col min="1542" max="1554" width="11.453125" style="155" customWidth="1"/>
    <col min="1555" max="1555" width="8.81640625" style="155" customWidth="1"/>
    <col min="1556" max="1556" width="15.7265625" style="155" customWidth="1"/>
    <col min="1557" max="1792" width="9.1796875" style="155"/>
    <col min="1793" max="1793" width="24.54296875" style="155" customWidth="1"/>
    <col min="1794" max="1797" width="0" style="155" hidden="1" customWidth="1"/>
    <col min="1798" max="1810" width="11.453125" style="155" customWidth="1"/>
    <col min="1811" max="1811" width="8.81640625" style="155" customWidth="1"/>
    <col min="1812" max="1812" width="15.7265625" style="155" customWidth="1"/>
    <col min="1813" max="2048" width="9.1796875" style="155"/>
    <col min="2049" max="2049" width="24.54296875" style="155" customWidth="1"/>
    <col min="2050" max="2053" width="0" style="155" hidden="1" customWidth="1"/>
    <col min="2054" max="2066" width="11.453125" style="155" customWidth="1"/>
    <col min="2067" max="2067" width="8.81640625" style="155" customWidth="1"/>
    <col min="2068" max="2068" width="15.7265625" style="155" customWidth="1"/>
    <col min="2069" max="2304" width="9.1796875" style="155"/>
    <col min="2305" max="2305" width="24.54296875" style="155" customWidth="1"/>
    <col min="2306" max="2309" width="0" style="155" hidden="1" customWidth="1"/>
    <col min="2310" max="2322" width="11.453125" style="155" customWidth="1"/>
    <col min="2323" max="2323" width="8.81640625" style="155" customWidth="1"/>
    <col min="2324" max="2324" width="15.7265625" style="155" customWidth="1"/>
    <col min="2325" max="2560" width="9.1796875" style="155"/>
    <col min="2561" max="2561" width="24.54296875" style="155" customWidth="1"/>
    <col min="2562" max="2565" width="0" style="155" hidden="1" customWidth="1"/>
    <col min="2566" max="2578" width="11.453125" style="155" customWidth="1"/>
    <col min="2579" max="2579" width="8.81640625" style="155" customWidth="1"/>
    <col min="2580" max="2580" width="15.7265625" style="155" customWidth="1"/>
    <col min="2581" max="2816" width="9.1796875" style="155"/>
    <col min="2817" max="2817" width="24.54296875" style="155" customWidth="1"/>
    <col min="2818" max="2821" width="0" style="155" hidden="1" customWidth="1"/>
    <col min="2822" max="2834" width="11.453125" style="155" customWidth="1"/>
    <col min="2835" max="2835" width="8.81640625" style="155" customWidth="1"/>
    <col min="2836" max="2836" width="15.7265625" style="155" customWidth="1"/>
    <col min="2837" max="3072" width="9.1796875" style="155"/>
    <col min="3073" max="3073" width="24.54296875" style="155" customWidth="1"/>
    <col min="3074" max="3077" width="0" style="155" hidden="1" customWidth="1"/>
    <col min="3078" max="3090" width="11.453125" style="155" customWidth="1"/>
    <col min="3091" max="3091" width="8.81640625" style="155" customWidth="1"/>
    <col min="3092" max="3092" width="15.7265625" style="155" customWidth="1"/>
    <col min="3093" max="3328" width="9.1796875" style="155"/>
    <col min="3329" max="3329" width="24.54296875" style="155" customWidth="1"/>
    <col min="3330" max="3333" width="0" style="155" hidden="1" customWidth="1"/>
    <col min="3334" max="3346" width="11.453125" style="155" customWidth="1"/>
    <col min="3347" max="3347" width="8.81640625" style="155" customWidth="1"/>
    <col min="3348" max="3348" width="15.7265625" style="155" customWidth="1"/>
    <col min="3349" max="3584" width="9.1796875" style="155"/>
    <col min="3585" max="3585" width="24.54296875" style="155" customWidth="1"/>
    <col min="3586" max="3589" width="0" style="155" hidden="1" customWidth="1"/>
    <col min="3590" max="3602" width="11.453125" style="155" customWidth="1"/>
    <col min="3603" max="3603" width="8.81640625" style="155" customWidth="1"/>
    <col min="3604" max="3604" width="15.7265625" style="155" customWidth="1"/>
    <col min="3605" max="3840" width="9.1796875" style="155"/>
    <col min="3841" max="3841" width="24.54296875" style="155" customWidth="1"/>
    <col min="3842" max="3845" width="0" style="155" hidden="1" customWidth="1"/>
    <col min="3846" max="3858" width="11.453125" style="155" customWidth="1"/>
    <col min="3859" max="3859" width="8.81640625" style="155" customWidth="1"/>
    <col min="3860" max="3860" width="15.7265625" style="155" customWidth="1"/>
    <col min="3861" max="4096" width="9.1796875" style="155"/>
    <col min="4097" max="4097" width="24.54296875" style="155" customWidth="1"/>
    <col min="4098" max="4101" width="0" style="155" hidden="1" customWidth="1"/>
    <col min="4102" max="4114" width="11.453125" style="155" customWidth="1"/>
    <col min="4115" max="4115" width="8.81640625" style="155" customWidth="1"/>
    <col min="4116" max="4116" width="15.7265625" style="155" customWidth="1"/>
    <col min="4117" max="4352" width="9.1796875" style="155"/>
    <col min="4353" max="4353" width="24.54296875" style="155" customWidth="1"/>
    <col min="4354" max="4357" width="0" style="155" hidden="1" customWidth="1"/>
    <col min="4358" max="4370" width="11.453125" style="155" customWidth="1"/>
    <col min="4371" max="4371" width="8.81640625" style="155" customWidth="1"/>
    <col min="4372" max="4372" width="15.7265625" style="155" customWidth="1"/>
    <col min="4373" max="4608" width="9.1796875" style="155"/>
    <col min="4609" max="4609" width="24.54296875" style="155" customWidth="1"/>
    <col min="4610" max="4613" width="0" style="155" hidden="1" customWidth="1"/>
    <col min="4614" max="4626" width="11.453125" style="155" customWidth="1"/>
    <col min="4627" max="4627" width="8.81640625" style="155" customWidth="1"/>
    <col min="4628" max="4628" width="15.7265625" style="155" customWidth="1"/>
    <col min="4629" max="4864" width="9.1796875" style="155"/>
    <col min="4865" max="4865" width="24.54296875" style="155" customWidth="1"/>
    <col min="4866" max="4869" width="0" style="155" hidden="1" customWidth="1"/>
    <col min="4870" max="4882" width="11.453125" style="155" customWidth="1"/>
    <col min="4883" max="4883" width="8.81640625" style="155" customWidth="1"/>
    <col min="4884" max="4884" width="15.7265625" style="155" customWidth="1"/>
    <col min="4885" max="5120" width="9.1796875" style="155"/>
    <col min="5121" max="5121" width="24.54296875" style="155" customWidth="1"/>
    <col min="5122" max="5125" width="0" style="155" hidden="1" customWidth="1"/>
    <col min="5126" max="5138" width="11.453125" style="155" customWidth="1"/>
    <col min="5139" max="5139" width="8.81640625" style="155" customWidth="1"/>
    <col min="5140" max="5140" width="15.7265625" style="155" customWidth="1"/>
    <col min="5141" max="5376" width="9.1796875" style="155"/>
    <col min="5377" max="5377" width="24.54296875" style="155" customWidth="1"/>
    <col min="5378" max="5381" width="0" style="155" hidden="1" customWidth="1"/>
    <col min="5382" max="5394" width="11.453125" style="155" customWidth="1"/>
    <col min="5395" max="5395" width="8.81640625" style="155" customWidth="1"/>
    <col min="5396" max="5396" width="15.7265625" style="155" customWidth="1"/>
    <col min="5397" max="5632" width="9.1796875" style="155"/>
    <col min="5633" max="5633" width="24.54296875" style="155" customWidth="1"/>
    <col min="5634" max="5637" width="0" style="155" hidden="1" customWidth="1"/>
    <col min="5638" max="5650" width="11.453125" style="155" customWidth="1"/>
    <col min="5651" max="5651" width="8.81640625" style="155" customWidth="1"/>
    <col min="5652" max="5652" width="15.7265625" style="155" customWidth="1"/>
    <col min="5653" max="5888" width="9.1796875" style="155"/>
    <col min="5889" max="5889" width="24.54296875" style="155" customWidth="1"/>
    <col min="5890" max="5893" width="0" style="155" hidden="1" customWidth="1"/>
    <col min="5894" max="5906" width="11.453125" style="155" customWidth="1"/>
    <col min="5907" max="5907" width="8.81640625" style="155" customWidth="1"/>
    <col min="5908" max="5908" width="15.7265625" style="155" customWidth="1"/>
    <col min="5909" max="6144" width="9.1796875" style="155"/>
    <col min="6145" max="6145" width="24.54296875" style="155" customWidth="1"/>
    <col min="6146" max="6149" width="0" style="155" hidden="1" customWidth="1"/>
    <col min="6150" max="6162" width="11.453125" style="155" customWidth="1"/>
    <col min="6163" max="6163" width="8.81640625" style="155" customWidth="1"/>
    <col min="6164" max="6164" width="15.7265625" style="155" customWidth="1"/>
    <col min="6165" max="6400" width="9.1796875" style="155"/>
    <col min="6401" max="6401" width="24.54296875" style="155" customWidth="1"/>
    <col min="6402" max="6405" width="0" style="155" hidden="1" customWidth="1"/>
    <col min="6406" max="6418" width="11.453125" style="155" customWidth="1"/>
    <col min="6419" max="6419" width="8.81640625" style="155" customWidth="1"/>
    <col min="6420" max="6420" width="15.7265625" style="155" customWidth="1"/>
    <col min="6421" max="6656" width="9.1796875" style="155"/>
    <col min="6657" max="6657" width="24.54296875" style="155" customWidth="1"/>
    <col min="6658" max="6661" width="0" style="155" hidden="1" customWidth="1"/>
    <col min="6662" max="6674" width="11.453125" style="155" customWidth="1"/>
    <col min="6675" max="6675" width="8.81640625" style="155" customWidth="1"/>
    <col min="6676" max="6676" width="15.7265625" style="155" customWidth="1"/>
    <col min="6677" max="6912" width="9.1796875" style="155"/>
    <col min="6913" max="6913" width="24.54296875" style="155" customWidth="1"/>
    <col min="6914" max="6917" width="0" style="155" hidden="1" customWidth="1"/>
    <col min="6918" max="6930" width="11.453125" style="155" customWidth="1"/>
    <col min="6931" max="6931" width="8.81640625" style="155" customWidth="1"/>
    <col min="6932" max="6932" width="15.7265625" style="155" customWidth="1"/>
    <col min="6933" max="7168" width="9.1796875" style="155"/>
    <col min="7169" max="7169" width="24.54296875" style="155" customWidth="1"/>
    <col min="7170" max="7173" width="0" style="155" hidden="1" customWidth="1"/>
    <col min="7174" max="7186" width="11.453125" style="155" customWidth="1"/>
    <col min="7187" max="7187" width="8.81640625" style="155" customWidth="1"/>
    <col min="7188" max="7188" width="15.7265625" style="155" customWidth="1"/>
    <col min="7189" max="7424" width="9.1796875" style="155"/>
    <col min="7425" max="7425" width="24.54296875" style="155" customWidth="1"/>
    <col min="7426" max="7429" width="0" style="155" hidden="1" customWidth="1"/>
    <col min="7430" max="7442" width="11.453125" style="155" customWidth="1"/>
    <col min="7443" max="7443" width="8.81640625" style="155" customWidth="1"/>
    <col min="7444" max="7444" width="15.7265625" style="155" customWidth="1"/>
    <col min="7445" max="7680" width="9.1796875" style="155"/>
    <col min="7681" max="7681" width="24.54296875" style="155" customWidth="1"/>
    <col min="7682" max="7685" width="0" style="155" hidden="1" customWidth="1"/>
    <col min="7686" max="7698" width="11.453125" style="155" customWidth="1"/>
    <col min="7699" max="7699" width="8.81640625" style="155" customWidth="1"/>
    <col min="7700" max="7700" width="15.7265625" style="155" customWidth="1"/>
    <col min="7701" max="7936" width="9.1796875" style="155"/>
    <col min="7937" max="7937" width="24.54296875" style="155" customWidth="1"/>
    <col min="7938" max="7941" width="0" style="155" hidden="1" customWidth="1"/>
    <col min="7942" max="7954" width="11.453125" style="155" customWidth="1"/>
    <col min="7955" max="7955" width="8.81640625" style="155" customWidth="1"/>
    <col min="7956" max="7956" width="15.7265625" style="155" customWidth="1"/>
    <col min="7957" max="8192" width="9.1796875" style="155"/>
    <col min="8193" max="8193" width="24.54296875" style="155" customWidth="1"/>
    <col min="8194" max="8197" width="0" style="155" hidden="1" customWidth="1"/>
    <col min="8198" max="8210" width="11.453125" style="155" customWidth="1"/>
    <col min="8211" max="8211" width="8.81640625" style="155" customWidth="1"/>
    <col min="8212" max="8212" width="15.7265625" style="155" customWidth="1"/>
    <col min="8213" max="8448" width="9.1796875" style="155"/>
    <col min="8449" max="8449" width="24.54296875" style="155" customWidth="1"/>
    <col min="8450" max="8453" width="0" style="155" hidden="1" customWidth="1"/>
    <col min="8454" max="8466" width="11.453125" style="155" customWidth="1"/>
    <col min="8467" max="8467" width="8.81640625" style="155" customWidth="1"/>
    <col min="8468" max="8468" width="15.7265625" style="155" customWidth="1"/>
    <col min="8469" max="8704" width="9.1796875" style="155"/>
    <col min="8705" max="8705" width="24.54296875" style="155" customWidth="1"/>
    <col min="8706" max="8709" width="0" style="155" hidden="1" customWidth="1"/>
    <col min="8710" max="8722" width="11.453125" style="155" customWidth="1"/>
    <col min="8723" max="8723" width="8.81640625" style="155" customWidth="1"/>
    <col min="8724" max="8724" width="15.7265625" style="155" customWidth="1"/>
    <col min="8725" max="8960" width="9.1796875" style="155"/>
    <col min="8961" max="8961" width="24.54296875" style="155" customWidth="1"/>
    <col min="8962" max="8965" width="0" style="155" hidden="1" customWidth="1"/>
    <col min="8966" max="8978" width="11.453125" style="155" customWidth="1"/>
    <col min="8979" max="8979" width="8.81640625" style="155" customWidth="1"/>
    <col min="8980" max="8980" width="15.7265625" style="155" customWidth="1"/>
    <col min="8981" max="9216" width="9.1796875" style="155"/>
    <col min="9217" max="9217" width="24.54296875" style="155" customWidth="1"/>
    <col min="9218" max="9221" width="0" style="155" hidden="1" customWidth="1"/>
    <col min="9222" max="9234" width="11.453125" style="155" customWidth="1"/>
    <col min="9235" max="9235" width="8.81640625" style="155" customWidth="1"/>
    <col min="9236" max="9236" width="15.7265625" style="155" customWidth="1"/>
    <col min="9237" max="9472" width="9.1796875" style="155"/>
    <col min="9473" max="9473" width="24.54296875" style="155" customWidth="1"/>
    <col min="9474" max="9477" width="0" style="155" hidden="1" customWidth="1"/>
    <col min="9478" max="9490" width="11.453125" style="155" customWidth="1"/>
    <col min="9491" max="9491" width="8.81640625" style="155" customWidth="1"/>
    <col min="9492" max="9492" width="15.7265625" style="155" customWidth="1"/>
    <col min="9493" max="9728" width="9.1796875" style="155"/>
    <col min="9729" max="9729" width="24.54296875" style="155" customWidth="1"/>
    <col min="9730" max="9733" width="0" style="155" hidden="1" customWidth="1"/>
    <col min="9734" max="9746" width="11.453125" style="155" customWidth="1"/>
    <col min="9747" max="9747" width="8.81640625" style="155" customWidth="1"/>
    <col min="9748" max="9748" width="15.7265625" style="155" customWidth="1"/>
    <col min="9749" max="9984" width="9.1796875" style="155"/>
    <col min="9985" max="9985" width="24.54296875" style="155" customWidth="1"/>
    <col min="9986" max="9989" width="0" style="155" hidden="1" customWidth="1"/>
    <col min="9990" max="10002" width="11.453125" style="155" customWidth="1"/>
    <col min="10003" max="10003" width="8.81640625" style="155" customWidth="1"/>
    <col min="10004" max="10004" width="15.7265625" style="155" customWidth="1"/>
    <col min="10005" max="10240" width="9.1796875" style="155"/>
    <col min="10241" max="10241" width="24.54296875" style="155" customWidth="1"/>
    <col min="10242" max="10245" width="0" style="155" hidden="1" customWidth="1"/>
    <col min="10246" max="10258" width="11.453125" style="155" customWidth="1"/>
    <col min="10259" max="10259" width="8.81640625" style="155" customWidth="1"/>
    <col min="10260" max="10260" width="15.7265625" style="155" customWidth="1"/>
    <col min="10261" max="10496" width="9.1796875" style="155"/>
    <col min="10497" max="10497" width="24.54296875" style="155" customWidth="1"/>
    <col min="10498" max="10501" width="0" style="155" hidden="1" customWidth="1"/>
    <col min="10502" max="10514" width="11.453125" style="155" customWidth="1"/>
    <col min="10515" max="10515" width="8.81640625" style="155" customWidth="1"/>
    <col min="10516" max="10516" width="15.7265625" style="155" customWidth="1"/>
    <col min="10517" max="10752" width="9.1796875" style="155"/>
    <col min="10753" max="10753" width="24.54296875" style="155" customWidth="1"/>
    <col min="10754" max="10757" width="0" style="155" hidden="1" customWidth="1"/>
    <col min="10758" max="10770" width="11.453125" style="155" customWidth="1"/>
    <col min="10771" max="10771" width="8.81640625" style="155" customWidth="1"/>
    <col min="10772" max="10772" width="15.7265625" style="155" customWidth="1"/>
    <col min="10773" max="11008" width="9.1796875" style="155"/>
    <col min="11009" max="11009" width="24.54296875" style="155" customWidth="1"/>
    <col min="11010" max="11013" width="0" style="155" hidden="1" customWidth="1"/>
    <col min="11014" max="11026" width="11.453125" style="155" customWidth="1"/>
    <col min="11027" max="11027" width="8.81640625" style="155" customWidth="1"/>
    <col min="11028" max="11028" width="15.7265625" style="155" customWidth="1"/>
    <col min="11029" max="11264" width="9.1796875" style="155"/>
    <col min="11265" max="11265" width="24.54296875" style="155" customWidth="1"/>
    <col min="11266" max="11269" width="0" style="155" hidden="1" customWidth="1"/>
    <col min="11270" max="11282" width="11.453125" style="155" customWidth="1"/>
    <col min="11283" max="11283" width="8.81640625" style="155" customWidth="1"/>
    <col min="11284" max="11284" width="15.7265625" style="155" customWidth="1"/>
    <col min="11285" max="11520" width="9.1796875" style="155"/>
    <col min="11521" max="11521" width="24.54296875" style="155" customWidth="1"/>
    <col min="11522" max="11525" width="0" style="155" hidden="1" customWidth="1"/>
    <col min="11526" max="11538" width="11.453125" style="155" customWidth="1"/>
    <col min="11539" max="11539" width="8.81640625" style="155" customWidth="1"/>
    <col min="11540" max="11540" width="15.7265625" style="155" customWidth="1"/>
    <col min="11541" max="11776" width="9.1796875" style="155"/>
    <col min="11777" max="11777" width="24.54296875" style="155" customWidth="1"/>
    <col min="11778" max="11781" width="0" style="155" hidden="1" customWidth="1"/>
    <col min="11782" max="11794" width="11.453125" style="155" customWidth="1"/>
    <col min="11795" max="11795" width="8.81640625" style="155" customWidth="1"/>
    <col min="11796" max="11796" width="15.7265625" style="155" customWidth="1"/>
    <col min="11797" max="12032" width="9.1796875" style="155"/>
    <col min="12033" max="12033" width="24.54296875" style="155" customWidth="1"/>
    <col min="12034" max="12037" width="0" style="155" hidden="1" customWidth="1"/>
    <col min="12038" max="12050" width="11.453125" style="155" customWidth="1"/>
    <col min="12051" max="12051" width="8.81640625" style="155" customWidth="1"/>
    <col min="12052" max="12052" width="15.7265625" style="155" customWidth="1"/>
    <col min="12053" max="12288" width="9.1796875" style="155"/>
    <col min="12289" max="12289" width="24.54296875" style="155" customWidth="1"/>
    <col min="12290" max="12293" width="0" style="155" hidden="1" customWidth="1"/>
    <col min="12294" max="12306" width="11.453125" style="155" customWidth="1"/>
    <col min="12307" max="12307" width="8.81640625" style="155" customWidth="1"/>
    <col min="12308" max="12308" width="15.7265625" style="155" customWidth="1"/>
    <col min="12309" max="12544" width="9.1796875" style="155"/>
    <col min="12545" max="12545" width="24.54296875" style="155" customWidth="1"/>
    <col min="12546" max="12549" width="0" style="155" hidden="1" customWidth="1"/>
    <col min="12550" max="12562" width="11.453125" style="155" customWidth="1"/>
    <col min="12563" max="12563" width="8.81640625" style="155" customWidth="1"/>
    <col min="12564" max="12564" width="15.7265625" style="155" customWidth="1"/>
    <col min="12565" max="12800" width="9.1796875" style="155"/>
    <col min="12801" max="12801" width="24.54296875" style="155" customWidth="1"/>
    <col min="12802" max="12805" width="0" style="155" hidden="1" customWidth="1"/>
    <col min="12806" max="12818" width="11.453125" style="155" customWidth="1"/>
    <col min="12819" max="12819" width="8.81640625" style="155" customWidth="1"/>
    <col min="12820" max="12820" width="15.7265625" style="155" customWidth="1"/>
    <col min="12821" max="13056" width="9.1796875" style="155"/>
    <col min="13057" max="13057" width="24.54296875" style="155" customWidth="1"/>
    <col min="13058" max="13061" width="0" style="155" hidden="1" customWidth="1"/>
    <col min="13062" max="13074" width="11.453125" style="155" customWidth="1"/>
    <col min="13075" max="13075" width="8.81640625" style="155" customWidth="1"/>
    <col min="13076" max="13076" width="15.7265625" style="155" customWidth="1"/>
    <col min="13077" max="13312" width="9.1796875" style="155"/>
    <col min="13313" max="13313" width="24.54296875" style="155" customWidth="1"/>
    <col min="13314" max="13317" width="0" style="155" hidden="1" customWidth="1"/>
    <col min="13318" max="13330" width="11.453125" style="155" customWidth="1"/>
    <col min="13331" max="13331" width="8.81640625" style="155" customWidth="1"/>
    <col min="13332" max="13332" width="15.7265625" style="155" customWidth="1"/>
    <col min="13333" max="13568" width="9.1796875" style="155"/>
    <col min="13569" max="13569" width="24.54296875" style="155" customWidth="1"/>
    <col min="13570" max="13573" width="0" style="155" hidden="1" customWidth="1"/>
    <col min="13574" max="13586" width="11.453125" style="155" customWidth="1"/>
    <col min="13587" max="13587" width="8.81640625" style="155" customWidth="1"/>
    <col min="13588" max="13588" width="15.7265625" style="155" customWidth="1"/>
    <col min="13589" max="13824" width="9.1796875" style="155"/>
    <col min="13825" max="13825" width="24.54296875" style="155" customWidth="1"/>
    <col min="13826" max="13829" width="0" style="155" hidden="1" customWidth="1"/>
    <col min="13830" max="13842" width="11.453125" style="155" customWidth="1"/>
    <col min="13843" max="13843" width="8.81640625" style="155" customWidth="1"/>
    <col min="13844" max="13844" width="15.7265625" style="155" customWidth="1"/>
    <col min="13845" max="14080" width="9.1796875" style="155"/>
    <col min="14081" max="14081" width="24.54296875" style="155" customWidth="1"/>
    <col min="14082" max="14085" width="0" style="155" hidden="1" customWidth="1"/>
    <col min="14086" max="14098" width="11.453125" style="155" customWidth="1"/>
    <col min="14099" max="14099" width="8.81640625" style="155" customWidth="1"/>
    <col min="14100" max="14100" width="15.7265625" style="155" customWidth="1"/>
    <col min="14101" max="14336" width="9.1796875" style="155"/>
    <col min="14337" max="14337" width="24.54296875" style="155" customWidth="1"/>
    <col min="14338" max="14341" width="0" style="155" hidden="1" customWidth="1"/>
    <col min="14342" max="14354" width="11.453125" style="155" customWidth="1"/>
    <col min="14355" max="14355" width="8.81640625" style="155" customWidth="1"/>
    <col min="14356" max="14356" width="15.7265625" style="155" customWidth="1"/>
    <col min="14357" max="14592" width="9.1796875" style="155"/>
    <col min="14593" max="14593" width="24.54296875" style="155" customWidth="1"/>
    <col min="14594" max="14597" width="0" style="155" hidden="1" customWidth="1"/>
    <col min="14598" max="14610" width="11.453125" style="155" customWidth="1"/>
    <col min="14611" max="14611" width="8.81640625" style="155" customWidth="1"/>
    <col min="14612" max="14612" width="15.7265625" style="155" customWidth="1"/>
    <col min="14613" max="14848" width="9.1796875" style="155"/>
    <col min="14849" max="14849" width="24.54296875" style="155" customWidth="1"/>
    <col min="14850" max="14853" width="0" style="155" hidden="1" customWidth="1"/>
    <col min="14854" max="14866" width="11.453125" style="155" customWidth="1"/>
    <col min="14867" max="14867" width="8.81640625" style="155" customWidth="1"/>
    <col min="14868" max="14868" width="15.7265625" style="155" customWidth="1"/>
    <col min="14869" max="15104" width="9.1796875" style="155"/>
    <col min="15105" max="15105" width="24.54296875" style="155" customWidth="1"/>
    <col min="15106" max="15109" width="0" style="155" hidden="1" customWidth="1"/>
    <col min="15110" max="15122" width="11.453125" style="155" customWidth="1"/>
    <col min="15123" max="15123" width="8.81640625" style="155" customWidth="1"/>
    <col min="15124" max="15124" width="15.7265625" style="155" customWidth="1"/>
    <col min="15125" max="15360" width="9.1796875" style="155"/>
    <col min="15361" max="15361" width="24.54296875" style="155" customWidth="1"/>
    <col min="15362" max="15365" width="0" style="155" hidden="1" customWidth="1"/>
    <col min="15366" max="15378" width="11.453125" style="155" customWidth="1"/>
    <col min="15379" max="15379" width="8.81640625" style="155" customWidth="1"/>
    <col min="15380" max="15380" width="15.7265625" style="155" customWidth="1"/>
    <col min="15381" max="15616" width="9.1796875" style="155"/>
    <col min="15617" max="15617" width="24.54296875" style="155" customWidth="1"/>
    <col min="15618" max="15621" width="0" style="155" hidden="1" customWidth="1"/>
    <col min="15622" max="15634" width="11.453125" style="155" customWidth="1"/>
    <col min="15635" max="15635" width="8.81640625" style="155" customWidth="1"/>
    <col min="15636" max="15636" width="15.7265625" style="155" customWidth="1"/>
    <col min="15637" max="15872" width="9.1796875" style="155"/>
    <col min="15873" max="15873" width="24.54296875" style="155" customWidth="1"/>
    <col min="15874" max="15877" width="0" style="155" hidden="1" customWidth="1"/>
    <col min="15878" max="15890" width="11.453125" style="155" customWidth="1"/>
    <col min="15891" max="15891" width="8.81640625" style="155" customWidth="1"/>
    <col min="15892" max="15892" width="15.7265625" style="155" customWidth="1"/>
    <col min="15893" max="16128" width="9.1796875" style="155"/>
    <col min="16129" max="16129" width="24.54296875" style="155" customWidth="1"/>
    <col min="16130" max="16133" width="0" style="155" hidden="1" customWidth="1"/>
    <col min="16134" max="16146" width="11.453125" style="155" customWidth="1"/>
    <col min="16147" max="16147" width="8.81640625" style="155" customWidth="1"/>
    <col min="16148" max="16148" width="15.7265625" style="155" customWidth="1"/>
    <col min="16149" max="16384" width="9.1796875" style="155"/>
  </cols>
  <sheetData>
    <row r="1" spans="1:19" ht="14" x14ac:dyDescent="0.3">
      <c r="A1" s="5" t="s">
        <v>364</v>
      </c>
      <c r="B1" s="5"/>
      <c r="C1" s="5"/>
      <c r="D1" s="5"/>
    </row>
    <row r="2" spans="1:19" ht="10.5" customHeight="1" x14ac:dyDescent="0.3">
      <c r="A2" s="5"/>
      <c r="B2" s="5"/>
      <c r="C2" s="5"/>
      <c r="D2" s="5"/>
    </row>
    <row r="3" spans="1:19" x14ac:dyDescent="0.25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46" t="s">
        <v>311</v>
      </c>
    </row>
    <row r="4" spans="1:19" ht="16" customHeight="1" x14ac:dyDescent="0.3">
      <c r="A4" s="331" t="s">
        <v>312</v>
      </c>
      <c r="B4" s="332">
        <v>2003</v>
      </c>
      <c r="C4" s="332">
        <v>2004</v>
      </c>
      <c r="D4" s="332">
        <v>2005</v>
      </c>
      <c r="E4" s="332">
        <v>2006</v>
      </c>
      <c r="F4" s="332">
        <v>2007</v>
      </c>
      <c r="G4" s="332">
        <v>2008</v>
      </c>
      <c r="H4" s="332">
        <v>2009</v>
      </c>
      <c r="I4" s="332">
        <v>2010</v>
      </c>
      <c r="J4" s="332">
        <v>2011</v>
      </c>
      <c r="K4" s="332">
        <v>2012</v>
      </c>
      <c r="L4" s="332">
        <v>2013</v>
      </c>
      <c r="M4" s="332">
        <v>2014</v>
      </c>
      <c r="N4" s="332">
        <v>2015</v>
      </c>
      <c r="O4" s="332">
        <v>2016</v>
      </c>
      <c r="P4" s="332">
        <v>2017</v>
      </c>
      <c r="Q4" s="332">
        <v>2018</v>
      </c>
      <c r="R4" s="332">
        <v>2019</v>
      </c>
      <c r="S4" s="347"/>
    </row>
    <row r="6" spans="1:19" x14ac:dyDescent="0.25">
      <c r="A6" s="252" t="s">
        <v>313</v>
      </c>
      <c r="B6" s="316">
        <v>35855861</v>
      </c>
      <c r="C6" s="316">
        <v>38718614</v>
      </c>
      <c r="D6" s="316">
        <v>42146784</v>
      </c>
      <c r="E6" s="316">
        <v>45799983</v>
      </c>
      <c r="F6" s="316">
        <v>52110787</v>
      </c>
      <c r="G6" s="316">
        <v>50846494</v>
      </c>
      <c r="H6" s="316">
        <v>48270581</v>
      </c>
      <c r="I6" s="316">
        <v>49863504</v>
      </c>
      <c r="J6" s="316">
        <v>49671270</v>
      </c>
      <c r="K6" s="316">
        <v>45195014</v>
      </c>
      <c r="L6" s="316">
        <v>39729027</v>
      </c>
      <c r="M6" s="316">
        <v>41833374</v>
      </c>
      <c r="N6" s="316">
        <v>46824838</v>
      </c>
      <c r="O6" s="316">
        <v>50420583</v>
      </c>
      <c r="P6" s="316">
        <v>53402506</v>
      </c>
      <c r="Q6" s="316">
        <v>57891340</v>
      </c>
      <c r="R6" s="316">
        <v>61734944</v>
      </c>
      <c r="S6" s="317">
        <f>(R6-Q6)/Q6</f>
        <v>6.6393419119336328E-2</v>
      </c>
    </row>
    <row r="7" spans="1:19" x14ac:dyDescent="0.25">
      <c r="A7" s="162" t="s">
        <v>314</v>
      </c>
      <c r="B7" s="168">
        <v>22752667</v>
      </c>
      <c r="C7" s="168">
        <v>24558138</v>
      </c>
      <c r="D7" s="168">
        <v>27152745</v>
      </c>
      <c r="E7" s="168">
        <v>30008302</v>
      </c>
      <c r="F7" s="168">
        <v>32898249</v>
      </c>
      <c r="G7" s="168">
        <v>30272084</v>
      </c>
      <c r="H7" s="168">
        <v>27311765</v>
      </c>
      <c r="I7" s="168">
        <v>29209595</v>
      </c>
      <c r="J7" s="168">
        <v>34398226</v>
      </c>
      <c r="K7" s="168">
        <v>35145176</v>
      </c>
      <c r="L7" s="168">
        <v>35210735</v>
      </c>
      <c r="M7" s="168">
        <v>37559044</v>
      </c>
      <c r="N7" s="168">
        <v>39711237</v>
      </c>
      <c r="O7" s="168">
        <v>44154693</v>
      </c>
      <c r="P7" s="168">
        <v>47284500</v>
      </c>
      <c r="Q7" s="168">
        <v>50172457</v>
      </c>
      <c r="R7" s="168">
        <v>52688455</v>
      </c>
      <c r="S7" s="333">
        <f t="shared" ref="S7:S57" si="0">(R7-Q7)/Q7</f>
        <v>5.0146995990250187E-2</v>
      </c>
    </row>
    <row r="8" spans="1:19" x14ac:dyDescent="0.25">
      <c r="A8" s="252" t="s">
        <v>315</v>
      </c>
      <c r="B8" s="316">
        <v>19185919</v>
      </c>
      <c r="C8" s="316">
        <v>20416083</v>
      </c>
      <c r="D8" s="316">
        <v>21240736</v>
      </c>
      <c r="E8" s="316">
        <v>22408427</v>
      </c>
      <c r="F8" s="316">
        <v>23228879</v>
      </c>
      <c r="G8" s="316">
        <v>22832857</v>
      </c>
      <c r="H8" s="316">
        <v>21203028</v>
      </c>
      <c r="I8" s="316">
        <v>21117270</v>
      </c>
      <c r="J8" s="316">
        <v>22726707</v>
      </c>
      <c r="K8" s="316">
        <v>22666682</v>
      </c>
      <c r="L8" s="316">
        <v>22768082</v>
      </c>
      <c r="M8" s="316">
        <v>23115499</v>
      </c>
      <c r="N8" s="316">
        <v>23745023</v>
      </c>
      <c r="O8" s="316">
        <v>26253882</v>
      </c>
      <c r="P8" s="316">
        <v>27970655</v>
      </c>
      <c r="Q8" s="316">
        <v>29081787</v>
      </c>
      <c r="R8" s="316">
        <v>29721142</v>
      </c>
      <c r="S8" s="317">
        <f t="shared" si="0"/>
        <v>2.1984721915472388E-2</v>
      </c>
    </row>
    <row r="9" spans="1:19" x14ac:dyDescent="0.25">
      <c r="A9" s="162" t="s">
        <v>365</v>
      </c>
      <c r="B9" s="168">
        <v>11566616</v>
      </c>
      <c r="C9" s="168">
        <v>12046277</v>
      </c>
      <c r="D9" s="168">
        <v>12669019</v>
      </c>
      <c r="E9" s="168">
        <v>13076252</v>
      </c>
      <c r="F9" s="168">
        <v>13590803</v>
      </c>
      <c r="G9" s="168">
        <v>12813472</v>
      </c>
      <c r="H9" s="168">
        <v>11622443</v>
      </c>
      <c r="I9" s="168">
        <v>12064616</v>
      </c>
      <c r="J9" s="168">
        <v>12823117</v>
      </c>
      <c r="K9" s="168">
        <v>12582191</v>
      </c>
      <c r="L9" s="168">
        <v>12922403</v>
      </c>
      <c r="M9" s="168">
        <v>13749134</v>
      </c>
      <c r="N9" s="168">
        <v>14404206</v>
      </c>
      <c r="O9" s="168">
        <v>16672776</v>
      </c>
      <c r="P9" s="168">
        <v>18628876</v>
      </c>
      <c r="Q9" s="168">
        <v>19021704</v>
      </c>
      <c r="R9" s="168">
        <v>19858656</v>
      </c>
      <c r="S9" s="333">
        <f t="shared" si="0"/>
        <v>4.3999843547139622E-2</v>
      </c>
    </row>
    <row r="10" spans="1:19" x14ac:dyDescent="0.25">
      <c r="A10" s="252" t="s">
        <v>317</v>
      </c>
      <c r="B10" s="316">
        <v>9181229</v>
      </c>
      <c r="C10" s="316">
        <v>9467494</v>
      </c>
      <c r="D10" s="316">
        <v>9827157</v>
      </c>
      <c r="E10" s="316">
        <v>10286726</v>
      </c>
      <c r="F10" s="316">
        <v>10354903</v>
      </c>
      <c r="G10" s="316">
        <v>10212123</v>
      </c>
      <c r="H10" s="316">
        <v>9155670</v>
      </c>
      <c r="I10" s="316">
        <v>9486035</v>
      </c>
      <c r="J10" s="316">
        <v>10538829</v>
      </c>
      <c r="K10" s="316">
        <v>9892288</v>
      </c>
      <c r="L10" s="316">
        <v>9770253</v>
      </c>
      <c r="M10" s="316">
        <v>10315732</v>
      </c>
      <c r="N10" s="316">
        <v>10627218</v>
      </c>
      <c r="O10" s="316">
        <v>12093645</v>
      </c>
      <c r="P10" s="316">
        <v>13092117</v>
      </c>
      <c r="Q10" s="316">
        <v>13573242</v>
      </c>
      <c r="R10" s="316">
        <v>13261228</v>
      </c>
      <c r="S10" s="317">
        <f t="shared" si="0"/>
        <v>-2.2987433658075204E-2</v>
      </c>
    </row>
    <row r="11" spans="1:19" x14ac:dyDescent="0.25">
      <c r="A11" s="162" t="s">
        <v>366</v>
      </c>
      <c r="B11" s="168">
        <v>8195453</v>
      </c>
      <c r="C11" s="168">
        <v>8571144</v>
      </c>
      <c r="D11" s="168">
        <v>8795705</v>
      </c>
      <c r="E11" s="168">
        <v>8893720</v>
      </c>
      <c r="F11" s="168">
        <v>9120631</v>
      </c>
      <c r="G11" s="168">
        <v>9578304</v>
      </c>
      <c r="H11" s="168">
        <v>9139607</v>
      </c>
      <c r="I11" s="168">
        <v>9382935</v>
      </c>
      <c r="J11" s="168">
        <v>9913731</v>
      </c>
      <c r="K11" s="168">
        <v>8855441</v>
      </c>
      <c r="L11" s="168">
        <v>9638860</v>
      </c>
      <c r="M11" s="168">
        <v>10065873</v>
      </c>
      <c r="N11" s="168">
        <v>10575288</v>
      </c>
      <c r="O11" s="168">
        <v>12344945</v>
      </c>
      <c r="P11" s="168">
        <v>13713061</v>
      </c>
      <c r="Q11" s="168">
        <v>13981320</v>
      </c>
      <c r="R11" s="168">
        <v>15048240</v>
      </c>
      <c r="S11" s="333">
        <f t="shared" si="0"/>
        <v>7.6310391293525931E-2</v>
      </c>
    </row>
    <row r="12" spans="1:19" x14ac:dyDescent="0.25">
      <c r="A12" s="252" t="s">
        <v>319</v>
      </c>
      <c r="B12" s="316">
        <v>8852878</v>
      </c>
      <c r="C12" s="316">
        <v>8632178</v>
      </c>
      <c r="D12" s="316">
        <v>8631923</v>
      </c>
      <c r="E12" s="316">
        <v>8845668</v>
      </c>
      <c r="F12" s="316">
        <v>8639341</v>
      </c>
      <c r="G12" s="316">
        <v>8251989</v>
      </c>
      <c r="H12" s="316">
        <v>7108073</v>
      </c>
      <c r="I12" s="316">
        <v>7359150</v>
      </c>
      <c r="J12" s="316">
        <v>8656487</v>
      </c>
      <c r="K12" s="316">
        <v>8530817</v>
      </c>
      <c r="L12" s="316">
        <v>8701983</v>
      </c>
      <c r="M12" s="316">
        <v>9176274</v>
      </c>
      <c r="N12" s="316">
        <v>9117514</v>
      </c>
      <c r="O12" s="316">
        <v>10472404</v>
      </c>
      <c r="P12" s="316">
        <v>11249327</v>
      </c>
      <c r="Q12" s="316">
        <v>11042481</v>
      </c>
      <c r="R12" s="316">
        <v>11168707</v>
      </c>
      <c r="S12" s="317">
        <f t="shared" si="0"/>
        <v>1.1430945636220701E-2</v>
      </c>
    </row>
    <row r="13" spans="1:19" x14ac:dyDescent="0.25">
      <c r="A13" s="162" t="s">
        <v>320</v>
      </c>
      <c r="B13" s="168">
        <v>4157291</v>
      </c>
      <c r="C13" s="168">
        <v>4171580</v>
      </c>
      <c r="D13" s="168">
        <v>4164703</v>
      </c>
      <c r="E13" s="168">
        <v>4460143</v>
      </c>
      <c r="F13" s="168">
        <v>4765625</v>
      </c>
      <c r="G13" s="168">
        <v>4647360</v>
      </c>
      <c r="H13" s="168">
        <v>4572814</v>
      </c>
      <c r="I13" s="168">
        <v>5040800</v>
      </c>
      <c r="J13" s="168">
        <v>5643180</v>
      </c>
      <c r="K13" s="168">
        <v>5555071</v>
      </c>
      <c r="L13" s="168">
        <v>5726581</v>
      </c>
      <c r="M13" s="168">
        <v>6211882</v>
      </c>
      <c r="N13" s="168">
        <v>6477283</v>
      </c>
      <c r="O13" s="168">
        <v>7416368</v>
      </c>
      <c r="P13" s="168">
        <v>7903892</v>
      </c>
      <c r="Q13" s="168">
        <v>8104316</v>
      </c>
      <c r="R13" s="168">
        <v>8155626</v>
      </c>
      <c r="S13" s="333">
        <f t="shared" si="0"/>
        <v>6.3311943907419206E-3</v>
      </c>
    </row>
    <row r="14" spans="1:19" x14ac:dyDescent="0.25">
      <c r="A14" s="252" t="s">
        <v>323</v>
      </c>
      <c r="B14" s="316">
        <v>5383426</v>
      </c>
      <c r="C14" s="316">
        <v>5517136</v>
      </c>
      <c r="D14" s="316">
        <v>5467499</v>
      </c>
      <c r="E14" s="316">
        <v>5626087</v>
      </c>
      <c r="F14" s="316">
        <v>5625580</v>
      </c>
      <c r="G14" s="316">
        <v>5438178</v>
      </c>
      <c r="H14" s="316">
        <v>4701480</v>
      </c>
      <c r="I14" s="316">
        <v>4938632</v>
      </c>
      <c r="J14" s="316">
        <v>5543744</v>
      </c>
      <c r="K14" s="316">
        <v>5169386</v>
      </c>
      <c r="L14" s="316">
        <v>5334598</v>
      </c>
      <c r="M14" s="316">
        <v>5883039</v>
      </c>
      <c r="N14" s="316">
        <v>6128971</v>
      </c>
      <c r="O14" s="316">
        <v>6683966</v>
      </c>
      <c r="P14" s="316">
        <v>7389025</v>
      </c>
      <c r="Q14" s="316">
        <v>7327019</v>
      </c>
      <c r="R14" s="316">
        <v>7293087</v>
      </c>
      <c r="S14" s="317">
        <f t="shared" si="0"/>
        <v>-4.6310784781641761E-3</v>
      </c>
    </row>
    <row r="15" spans="1:19" x14ac:dyDescent="0.25">
      <c r="A15" s="162" t="s">
        <v>326</v>
      </c>
      <c r="B15" s="168">
        <v>3919224</v>
      </c>
      <c r="C15" s="168">
        <v>3917109</v>
      </c>
      <c r="D15" s="168">
        <v>4071875</v>
      </c>
      <c r="E15" s="168">
        <v>4458711</v>
      </c>
      <c r="F15" s="168">
        <v>4629877</v>
      </c>
      <c r="G15" s="168">
        <v>4492003</v>
      </c>
      <c r="H15" s="168">
        <v>3738492</v>
      </c>
      <c r="I15" s="168">
        <v>4173686</v>
      </c>
      <c r="J15" s="168">
        <v>4948018</v>
      </c>
      <c r="K15" s="168">
        <v>4399183</v>
      </c>
      <c r="L15" s="168">
        <v>4259341</v>
      </c>
      <c r="M15" s="168">
        <v>4764632</v>
      </c>
      <c r="N15" s="168">
        <v>5027415</v>
      </c>
      <c r="O15" s="168">
        <v>5676817</v>
      </c>
      <c r="P15" s="168">
        <v>6049401</v>
      </c>
      <c r="Q15" s="168">
        <v>6118893</v>
      </c>
      <c r="R15" s="168">
        <v>5635417</v>
      </c>
      <c r="S15" s="333">
        <f t="shared" si="0"/>
        <v>-7.9013638578089213E-2</v>
      </c>
    </row>
    <row r="16" spans="1:19" x14ac:dyDescent="0.25">
      <c r="A16" s="252" t="s">
        <v>321</v>
      </c>
      <c r="B16" s="316">
        <v>2432126</v>
      </c>
      <c r="C16" s="316">
        <v>3111951</v>
      </c>
      <c r="D16" s="316">
        <v>4639314</v>
      </c>
      <c r="E16" s="316">
        <v>4969120</v>
      </c>
      <c r="F16" s="316">
        <v>5933424</v>
      </c>
      <c r="G16" s="316">
        <v>5779343</v>
      </c>
      <c r="H16" s="316">
        <v>4748981</v>
      </c>
      <c r="I16" s="316">
        <v>4934272</v>
      </c>
      <c r="J16" s="316">
        <v>4979511</v>
      </c>
      <c r="K16" s="316">
        <v>4752020</v>
      </c>
      <c r="L16" s="316">
        <v>4599990</v>
      </c>
      <c r="M16" s="316">
        <v>4592512</v>
      </c>
      <c r="N16" s="316">
        <v>5055127</v>
      </c>
      <c r="O16" s="316">
        <v>5799104</v>
      </c>
      <c r="P16" s="316">
        <v>6745394</v>
      </c>
      <c r="Q16" s="316">
        <v>7769867</v>
      </c>
      <c r="R16" s="316">
        <v>8539579</v>
      </c>
      <c r="S16" s="317">
        <f t="shared" si="0"/>
        <v>9.9063729147487331E-2</v>
      </c>
    </row>
    <row r="17" spans="1:19" x14ac:dyDescent="0.25">
      <c r="A17" s="162" t="s">
        <v>324</v>
      </c>
      <c r="B17" s="168">
        <v>2850524</v>
      </c>
      <c r="C17" s="168">
        <v>3395773</v>
      </c>
      <c r="D17" s="168">
        <v>3843953</v>
      </c>
      <c r="E17" s="168">
        <v>3876072</v>
      </c>
      <c r="F17" s="168">
        <v>4286751</v>
      </c>
      <c r="G17" s="168">
        <v>4172903</v>
      </c>
      <c r="H17" s="168">
        <v>3654951</v>
      </c>
      <c r="I17" s="168">
        <v>3888969</v>
      </c>
      <c r="J17" s="168">
        <v>4046172</v>
      </c>
      <c r="K17" s="168">
        <v>4171092</v>
      </c>
      <c r="L17" s="168">
        <v>3800789</v>
      </c>
      <c r="M17" s="168">
        <v>4015352</v>
      </c>
      <c r="N17" s="168">
        <v>4277725</v>
      </c>
      <c r="O17" s="168">
        <v>4588265</v>
      </c>
      <c r="P17" s="168">
        <v>4973712</v>
      </c>
      <c r="Q17" s="168">
        <v>5469453</v>
      </c>
      <c r="R17" s="168">
        <v>5905820</v>
      </c>
      <c r="S17" s="333">
        <f t="shared" si="0"/>
        <v>7.9782566922140113E-2</v>
      </c>
    </row>
    <row r="18" spans="1:19" x14ac:dyDescent="0.25">
      <c r="A18" s="252" t="s">
        <v>325</v>
      </c>
      <c r="B18" s="316">
        <v>2269565</v>
      </c>
      <c r="C18" s="316">
        <v>2678595</v>
      </c>
      <c r="D18" s="316">
        <v>3521112</v>
      </c>
      <c r="E18" s="316">
        <v>3871785</v>
      </c>
      <c r="F18" s="316">
        <v>4507264</v>
      </c>
      <c r="G18" s="316">
        <v>4392148</v>
      </c>
      <c r="H18" s="316">
        <v>4051268</v>
      </c>
      <c r="I18" s="316">
        <v>4224718</v>
      </c>
      <c r="J18" s="316">
        <v>4959359</v>
      </c>
      <c r="K18" s="316">
        <v>4287488</v>
      </c>
      <c r="L18" s="316">
        <v>3687727</v>
      </c>
      <c r="M18" s="316">
        <v>3884146</v>
      </c>
      <c r="N18" s="316">
        <v>4308845</v>
      </c>
      <c r="O18" s="316">
        <v>4624038</v>
      </c>
      <c r="P18" s="316">
        <v>5108807</v>
      </c>
      <c r="Q18" s="316">
        <v>6380465</v>
      </c>
      <c r="R18" s="316">
        <v>7544357</v>
      </c>
      <c r="S18" s="317">
        <f t="shared" si="0"/>
        <v>0.18241491803497081</v>
      </c>
    </row>
    <row r="19" spans="1:19" x14ac:dyDescent="0.25">
      <c r="A19" s="162" t="s">
        <v>322</v>
      </c>
      <c r="B19" s="168">
        <v>2919087</v>
      </c>
      <c r="C19" s="168">
        <v>3368988</v>
      </c>
      <c r="D19" s="168">
        <v>3754513</v>
      </c>
      <c r="E19" s="168">
        <v>4025601</v>
      </c>
      <c r="F19" s="168">
        <v>4125131</v>
      </c>
      <c r="G19" s="168">
        <v>4236615</v>
      </c>
      <c r="H19" s="168">
        <v>4054147</v>
      </c>
      <c r="I19" s="168">
        <v>4051155</v>
      </c>
      <c r="J19" s="168">
        <v>4095103</v>
      </c>
      <c r="K19" s="168">
        <v>3717944</v>
      </c>
      <c r="L19" s="168">
        <v>3516445</v>
      </c>
      <c r="M19" s="168">
        <v>3638953</v>
      </c>
      <c r="N19" s="168">
        <v>3815316</v>
      </c>
      <c r="O19" s="168">
        <v>4219191</v>
      </c>
      <c r="P19" s="168">
        <v>4704863</v>
      </c>
      <c r="Q19" s="168">
        <v>5493994</v>
      </c>
      <c r="R19" s="168">
        <v>5839638</v>
      </c>
      <c r="S19" s="333">
        <f t="shared" si="0"/>
        <v>6.2913064703019328E-2</v>
      </c>
    </row>
    <row r="20" spans="1:19" x14ac:dyDescent="0.25">
      <c r="A20" s="252" t="s">
        <v>329</v>
      </c>
      <c r="B20" s="316">
        <v>2704038</v>
      </c>
      <c r="C20" s="316">
        <v>2631334</v>
      </c>
      <c r="D20" s="316">
        <v>2590733</v>
      </c>
      <c r="E20" s="316">
        <v>2690992</v>
      </c>
      <c r="F20" s="316">
        <v>2776458</v>
      </c>
      <c r="G20" s="316">
        <v>2605932</v>
      </c>
      <c r="H20" s="316">
        <v>2433672</v>
      </c>
      <c r="I20" s="316">
        <v>2511626</v>
      </c>
      <c r="J20" s="316">
        <v>2576200</v>
      </c>
      <c r="K20" s="316">
        <v>2545944</v>
      </c>
      <c r="L20" s="316">
        <v>2565466</v>
      </c>
      <c r="M20" s="316">
        <v>2632615</v>
      </c>
      <c r="N20" s="316">
        <v>2867521</v>
      </c>
      <c r="O20" s="316">
        <v>3178612</v>
      </c>
      <c r="P20" s="316">
        <v>3434615</v>
      </c>
      <c r="Q20" s="316">
        <v>3442752</v>
      </c>
      <c r="R20" s="316">
        <v>3495025</v>
      </c>
      <c r="S20" s="317">
        <f t="shared" si="0"/>
        <v>1.5183492740691168E-2</v>
      </c>
    </row>
    <row r="21" spans="1:19" x14ac:dyDescent="0.25">
      <c r="A21" s="162" t="s">
        <v>40</v>
      </c>
      <c r="B21" s="168">
        <v>1448796</v>
      </c>
      <c r="C21" s="168">
        <v>2962988</v>
      </c>
      <c r="D21" s="168">
        <v>3533564</v>
      </c>
      <c r="E21" s="168">
        <v>3614254</v>
      </c>
      <c r="F21" s="168">
        <v>4848604</v>
      </c>
      <c r="G21" s="168">
        <v>5510970</v>
      </c>
      <c r="H21" s="168">
        <v>5286975</v>
      </c>
      <c r="I21" s="168">
        <v>4863785</v>
      </c>
      <c r="J21" s="168">
        <v>3007977</v>
      </c>
      <c r="K21" s="168">
        <v>2844682</v>
      </c>
      <c r="L21" s="168">
        <v>2736867</v>
      </c>
      <c r="M21" s="168">
        <v>2160646</v>
      </c>
      <c r="N21" s="168">
        <v>1775326</v>
      </c>
      <c r="O21" s="168">
        <v>1664763</v>
      </c>
      <c r="P21" s="168">
        <v>1946816</v>
      </c>
      <c r="Q21" s="168">
        <v>2019876</v>
      </c>
      <c r="R21" s="168">
        <v>1933049</v>
      </c>
      <c r="S21" s="333">
        <f t="shared" si="0"/>
        <v>-4.2986302129437652E-2</v>
      </c>
    </row>
    <row r="22" spans="1:19" x14ac:dyDescent="0.25">
      <c r="A22" s="252" t="s">
        <v>330</v>
      </c>
      <c r="B22" s="316">
        <v>1381826</v>
      </c>
      <c r="C22" s="316">
        <v>1580675</v>
      </c>
      <c r="D22" s="316">
        <v>1843118</v>
      </c>
      <c r="E22" s="316">
        <v>1994519</v>
      </c>
      <c r="F22" s="316">
        <v>2050172</v>
      </c>
      <c r="G22" s="316">
        <v>1917466</v>
      </c>
      <c r="H22" s="316">
        <v>1943900</v>
      </c>
      <c r="I22" s="316">
        <v>2172869</v>
      </c>
      <c r="J22" s="316">
        <v>2464330</v>
      </c>
      <c r="K22" s="316">
        <v>2194611</v>
      </c>
      <c r="L22" s="316">
        <v>2073055</v>
      </c>
      <c r="M22" s="316">
        <v>2083873</v>
      </c>
      <c r="N22" s="316">
        <v>2296409</v>
      </c>
      <c r="O22" s="316">
        <v>2510740</v>
      </c>
      <c r="P22" s="316">
        <v>2644925</v>
      </c>
      <c r="Q22" s="316">
        <v>2724750</v>
      </c>
      <c r="R22" s="316">
        <v>2904102</v>
      </c>
      <c r="S22" s="317">
        <f t="shared" si="0"/>
        <v>6.5823286540049541E-2</v>
      </c>
    </row>
    <row r="23" spans="1:19" x14ac:dyDescent="0.25">
      <c r="A23" s="162" t="s">
        <v>340</v>
      </c>
      <c r="B23" s="168">
        <v>556927</v>
      </c>
      <c r="C23" s="168">
        <v>848427</v>
      </c>
      <c r="D23" s="168">
        <v>1416537</v>
      </c>
      <c r="E23" s="168">
        <v>1646129</v>
      </c>
      <c r="F23" s="168">
        <v>2002949</v>
      </c>
      <c r="G23" s="168">
        <v>1876255</v>
      </c>
      <c r="H23" s="168">
        <v>1630521</v>
      </c>
      <c r="I23" s="168">
        <v>1349333</v>
      </c>
      <c r="J23" s="168">
        <v>1262597</v>
      </c>
      <c r="K23" s="168">
        <v>1181490</v>
      </c>
      <c r="L23" s="168">
        <v>1140447</v>
      </c>
      <c r="M23" s="168">
        <v>1095343</v>
      </c>
      <c r="N23" s="168">
        <v>1067668</v>
      </c>
      <c r="O23" s="168">
        <v>1096980</v>
      </c>
      <c r="P23" s="168">
        <v>1196605</v>
      </c>
      <c r="Q23" s="168">
        <v>1273424</v>
      </c>
      <c r="R23" s="168">
        <v>21563</v>
      </c>
      <c r="S23" s="333">
        <f t="shared" si="0"/>
        <v>-0.98306691251303568</v>
      </c>
    </row>
    <row r="24" spans="1:19" x14ac:dyDescent="0.25">
      <c r="A24" s="252" t="s">
        <v>333</v>
      </c>
      <c r="B24" s="316">
        <v>839814</v>
      </c>
      <c r="C24" s="316">
        <v>943992</v>
      </c>
      <c r="D24" s="316">
        <v>1251495</v>
      </c>
      <c r="E24" s="316">
        <v>1353030</v>
      </c>
      <c r="F24" s="316">
        <v>1560830</v>
      </c>
      <c r="G24" s="316">
        <v>1530245</v>
      </c>
      <c r="H24" s="316">
        <v>1316088</v>
      </c>
      <c r="I24" s="316">
        <v>1355364</v>
      </c>
      <c r="J24" s="316">
        <v>1339010</v>
      </c>
      <c r="K24" s="316">
        <v>1309640</v>
      </c>
      <c r="L24" s="316">
        <v>1039409</v>
      </c>
      <c r="M24" s="316">
        <v>1065570</v>
      </c>
      <c r="N24" s="316">
        <v>1119273</v>
      </c>
      <c r="O24" s="316">
        <v>1281979</v>
      </c>
      <c r="P24" s="316">
        <v>1407217</v>
      </c>
      <c r="Q24" s="316">
        <v>1400481</v>
      </c>
      <c r="R24" s="316">
        <v>1417912</v>
      </c>
      <c r="S24" s="317">
        <f t="shared" si="0"/>
        <v>1.2446438045214465E-2</v>
      </c>
    </row>
    <row r="25" spans="1:19" x14ac:dyDescent="0.25">
      <c r="A25" s="162" t="s">
        <v>332</v>
      </c>
      <c r="B25" s="168">
        <v>549871</v>
      </c>
      <c r="C25" s="168">
        <v>586239</v>
      </c>
      <c r="D25" s="168">
        <v>852322</v>
      </c>
      <c r="E25" s="168">
        <v>1014839</v>
      </c>
      <c r="F25" s="168">
        <v>1266795</v>
      </c>
      <c r="G25" s="168">
        <v>1174970</v>
      </c>
      <c r="H25" s="168">
        <v>1068823</v>
      </c>
      <c r="I25" s="168">
        <v>1101208</v>
      </c>
      <c r="J25" s="168">
        <v>1012800</v>
      </c>
      <c r="K25" s="168">
        <v>845452</v>
      </c>
      <c r="L25" s="168">
        <v>839837</v>
      </c>
      <c r="M25" s="168">
        <v>988834</v>
      </c>
      <c r="N25" s="168">
        <v>1025688</v>
      </c>
      <c r="O25" s="168">
        <v>1063291</v>
      </c>
      <c r="P25" s="168">
        <v>1141242</v>
      </c>
      <c r="Q25" s="168">
        <v>1225763</v>
      </c>
      <c r="R25" s="168">
        <v>1352584</v>
      </c>
      <c r="S25" s="333">
        <f t="shared" si="0"/>
        <v>0.10346290432979295</v>
      </c>
    </row>
    <row r="26" spans="1:19" x14ac:dyDescent="0.25">
      <c r="A26" s="252" t="s">
        <v>331</v>
      </c>
      <c r="B26" s="316">
        <v>941118</v>
      </c>
      <c r="C26" s="316">
        <v>1015667</v>
      </c>
      <c r="D26" s="316">
        <v>1145569</v>
      </c>
      <c r="E26" s="316">
        <v>1175328</v>
      </c>
      <c r="F26" s="316">
        <v>1207572</v>
      </c>
      <c r="G26" s="316">
        <v>1151357</v>
      </c>
      <c r="H26" s="316">
        <v>1042969</v>
      </c>
      <c r="I26" s="316">
        <v>992363</v>
      </c>
      <c r="J26" s="316">
        <v>1067431</v>
      </c>
      <c r="K26" s="316">
        <v>965779</v>
      </c>
      <c r="L26" s="316">
        <v>809521</v>
      </c>
      <c r="M26" s="316">
        <v>862836</v>
      </c>
      <c r="N26" s="316">
        <v>971676</v>
      </c>
      <c r="O26" s="316">
        <v>1116146</v>
      </c>
      <c r="P26" s="316">
        <v>1302485</v>
      </c>
      <c r="Q26" s="316">
        <v>1420277</v>
      </c>
      <c r="R26" s="316">
        <v>1483778</v>
      </c>
      <c r="S26" s="317">
        <f t="shared" si="0"/>
        <v>4.4710292428871271E-2</v>
      </c>
    </row>
    <row r="27" spans="1:19" x14ac:dyDescent="0.25">
      <c r="A27" s="162" t="s">
        <v>41</v>
      </c>
      <c r="B27" s="168">
        <v>846731</v>
      </c>
      <c r="C27" s="168">
        <v>1138009</v>
      </c>
      <c r="D27" s="168">
        <v>1382257</v>
      </c>
      <c r="E27" s="168">
        <v>1380267</v>
      </c>
      <c r="F27" s="168">
        <v>1306785</v>
      </c>
      <c r="G27" s="168">
        <v>1278074</v>
      </c>
      <c r="H27" s="168">
        <v>1706609</v>
      </c>
      <c r="I27" s="168">
        <v>1421341</v>
      </c>
      <c r="J27" s="168">
        <v>1362683</v>
      </c>
      <c r="K27" s="168">
        <v>937446</v>
      </c>
      <c r="L27" s="168">
        <v>971166</v>
      </c>
      <c r="M27" s="168">
        <v>850648</v>
      </c>
      <c r="N27" s="168">
        <v>705038</v>
      </c>
      <c r="O27" s="168">
        <v>817611</v>
      </c>
      <c r="P27" s="168">
        <v>1022964</v>
      </c>
      <c r="Q27" s="168">
        <v>1037576</v>
      </c>
      <c r="R27" s="168">
        <v>1046249</v>
      </c>
      <c r="S27" s="333">
        <f t="shared" si="0"/>
        <v>8.3589057572650092E-3</v>
      </c>
    </row>
    <row r="28" spans="1:19" x14ac:dyDescent="0.25">
      <c r="A28" s="252" t="s">
        <v>338</v>
      </c>
      <c r="B28" s="316">
        <v>253756</v>
      </c>
      <c r="C28" s="316">
        <v>342559</v>
      </c>
      <c r="D28" s="316">
        <v>644662</v>
      </c>
      <c r="E28" s="316">
        <v>649447</v>
      </c>
      <c r="F28" s="316">
        <v>761780</v>
      </c>
      <c r="G28" s="316">
        <v>856606</v>
      </c>
      <c r="H28" s="316">
        <v>958157</v>
      </c>
      <c r="I28" s="316">
        <v>918470</v>
      </c>
      <c r="J28" s="316">
        <v>1116398</v>
      </c>
      <c r="K28" s="316">
        <v>1117617</v>
      </c>
      <c r="L28" s="316">
        <v>974043</v>
      </c>
      <c r="M28" s="316">
        <v>815636</v>
      </c>
      <c r="N28" s="316">
        <v>875920</v>
      </c>
      <c r="O28" s="316">
        <v>778318</v>
      </c>
      <c r="P28" s="316">
        <v>937641</v>
      </c>
      <c r="Q28" s="316">
        <v>1103353</v>
      </c>
      <c r="R28" s="316">
        <v>1174999</v>
      </c>
      <c r="S28" s="317">
        <f t="shared" si="0"/>
        <v>6.4934794213637889E-2</v>
      </c>
    </row>
    <row r="29" spans="1:19" x14ac:dyDescent="0.25">
      <c r="A29" s="162" t="s">
        <v>327</v>
      </c>
      <c r="B29" s="168">
        <v>846452</v>
      </c>
      <c r="C29" s="168">
        <v>1117447</v>
      </c>
      <c r="D29" s="168">
        <v>1297134</v>
      </c>
      <c r="E29" s="168">
        <v>1381666</v>
      </c>
      <c r="F29" s="168">
        <v>1607968</v>
      </c>
      <c r="G29" s="168">
        <v>1303817</v>
      </c>
      <c r="H29" s="168">
        <v>1079787</v>
      </c>
      <c r="I29" s="168">
        <v>1042136</v>
      </c>
      <c r="J29" s="168">
        <v>1032493</v>
      </c>
      <c r="K29" s="168">
        <v>913301</v>
      </c>
      <c r="L29" s="168">
        <v>811504</v>
      </c>
      <c r="M29" s="168">
        <v>758004</v>
      </c>
      <c r="N29" s="168">
        <v>823160</v>
      </c>
      <c r="O29" s="168">
        <v>916451</v>
      </c>
      <c r="P29" s="168">
        <v>1046251</v>
      </c>
      <c r="Q29" s="168">
        <v>1133621</v>
      </c>
      <c r="R29" s="168">
        <v>1121164</v>
      </c>
      <c r="S29" s="333">
        <f t="shared" si="0"/>
        <v>-1.0988681402338172E-2</v>
      </c>
    </row>
    <row r="30" spans="1:19" x14ac:dyDescent="0.25">
      <c r="A30" s="252" t="s">
        <v>336</v>
      </c>
      <c r="B30" s="316">
        <v>839859</v>
      </c>
      <c r="C30" s="316">
        <v>830930</v>
      </c>
      <c r="D30" s="316">
        <v>1073585</v>
      </c>
      <c r="E30" s="316">
        <v>1055545</v>
      </c>
      <c r="F30" s="316">
        <v>1206634</v>
      </c>
      <c r="G30" s="316">
        <v>1024303</v>
      </c>
      <c r="H30" s="316">
        <v>791830</v>
      </c>
      <c r="I30" s="316">
        <v>787259</v>
      </c>
      <c r="J30" s="316">
        <v>780853</v>
      </c>
      <c r="K30" s="316">
        <v>749712</v>
      </c>
      <c r="L30" s="316">
        <v>705552</v>
      </c>
      <c r="M30" s="316">
        <v>744847</v>
      </c>
      <c r="N30" s="316">
        <v>691240</v>
      </c>
      <c r="O30" s="316">
        <v>919808</v>
      </c>
      <c r="P30" s="316">
        <v>1007446</v>
      </c>
      <c r="Q30" s="316">
        <v>992043</v>
      </c>
      <c r="R30" s="316">
        <v>979406</v>
      </c>
      <c r="S30" s="317">
        <f t="shared" si="0"/>
        <v>-1.2738359123546057E-2</v>
      </c>
    </row>
    <row r="31" spans="1:19" x14ac:dyDescent="0.25">
      <c r="A31" s="162" t="s">
        <v>339</v>
      </c>
      <c r="B31" s="168">
        <v>840013</v>
      </c>
      <c r="C31" s="168">
        <v>911974</v>
      </c>
      <c r="D31" s="168">
        <v>1108720</v>
      </c>
      <c r="E31" s="168">
        <v>1188046</v>
      </c>
      <c r="F31" s="168">
        <v>1405968</v>
      </c>
      <c r="G31" s="168">
        <v>1278762</v>
      </c>
      <c r="H31" s="168">
        <v>1103291</v>
      </c>
      <c r="I31" s="168">
        <v>1093571</v>
      </c>
      <c r="J31" s="168">
        <v>976152</v>
      </c>
      <c r="K31" s="168">
        <v>828720</v>
      </c>
      <c r="L31" s="168">
        <v>678720</v>
      </c>
      <c r="M31" s="168">
        <v>680387</v>
      </c>
      <c r="N31" s="168">
        <v>713567</v>
      </c>
      <c r="O31" s="168">
        <v>954006</v>
      </c>
      <c r="P31" s="168">
        <v>1065595</v>
      </c>
      <c r="Q31" s="168">
        <v>1129689</v>
      </c>
      <c r="R31" s="168">
        <v>1012447</v>
      </c>
      <c r="S31" s="333">
        <f t="shared" si="0"/>
        <v>-0.10378254546162705</v>
      </c>
    </row>
    <row r="32" spans="1:19" x14ac:dyDescent="0.25">
      <c r="A32" s="252" t="s">
        <v>337</v>
      </c>
      <c r="B32" s="316">
        <v>525869</v>
      </c>
      <c r="C32" s="316">
        <v>590931</v>
      </c>
      <c r="D32" s="316">
        <v>875827</v>
      </c>
      <c r="E32" s="316">
        <v>1086236</v>
      </c>
      <c r="F32" s="316">
        <v>1467625</v>
      </c>
      <c r="G32" s="316">
        <v>1422014</v>
      </c>
      <c r="H32" s="316">
        <v>1187736</v>
      </c>
      <c r="I32" s="316">
        <v>978107</v>
      </c>
      <c r="J32" s="316">
        <v>872752</v>
      </c>
      <c r="K32" s="316">
        <v>728428</v>
      </c>
      <c r="L32" s="316">
        <v>638289</v>
      </c>
      <c r="M32" s="316">
        <v>650544</v>
      </c>
      <c r="N32" s="316">
        <v>707270</v>
      </c>
      <c r="O32" s="316">
        <v>753142</v>
      </c>
      <c r="P32" s="316">
        <v>901961</v>
      </c>
      <c r="Q32" s="316">
        <v>1126389</v>
      </c>
      <c r="R32" s="316">
        <v>1252019</v>
      </c>
      <c r="S32" s="317">
        <f t="shared" si="0"/>
        <v>0.11153340453431275</v>
      </c>
    </row>
    <row r="33" spans="1:19" x14ac:dyDescent="0.25">
      <c r="A33" s="162" t="s">
        <v>342</v>
      </c>
      <c r="B33" s="168">
        <v>228069</v>
      </c>
      <c r="C33" s="168">
        <v>215213</v>
      </c>
      <c r="D33" s="168">
        <v>381849</v>
      </c>
      <c r="E33" s="168">
        <v>435881</v>
      </c>
      <c r="F33" s="168">
        <v>512184</v>
      </c>
      <c r="G33" s="168">
        <v>594952</v>
      </c>
      <c r="H33" s="168">
        <v>528313</v>
      </c>
      <c r="I33" s="168">
        <v>605912</v>
      </c>
      <c r="J33" s="168">
        <v>751097</v>
      </c>
      <c r="K33" s="168">
        <v>551406</v>
      </c>
      <c r="L33" s="168">
        <v>457284</v>
      </c>
      <c r="M33" s="168">
        <v>418576</v>
      </c>
      <c r="N33" s="168">
        <v>423873</v>
      </c>
      <c r="O33" s="168">
        <v>419529</v>
      </c>
      <c r="P33" s="168">
        <v>438035</v>
      </c>
      <c r="Q33" s="168">
        <v>489064</v>
      </c>
      <c r="R33" s="168">
        <v>467783</v>
      </c>
      <c r="S33" s="333">
        <f t="shared" si="0"/>
        <v>-4.3513732354047735E-2</v>
      </c>
    </row>
    <row r="34" spans="1:19" x14ac:dyDescent="0.25">
      <c r="A34" s="252" t="s">
        <v>341</v>
      </c>
      <c r="B34" s="316">
        <v>223437</v>
      </c>
      <c r="C34" s="316">
        <v>245102</v>
      </c>
      <c r="D34" s="316">
        <v>271589</v>
      </c>
      <c r="E34" s="316">
        <v>313543</v>
      </c>
      <c r="F34" s="316">
        <v>339244</v>
      </c>
      <c r="G34" s="316">
        <v>314643</v>
      </c>
      <c r="H34" s="316">
        <v>293692</v>
      </c>
      <c r="I34" s="316">
        <v>292608</v>
      </c>
      <c r="J34" s="316">
        <v>286701</v>
      </c>
      <c r="K34" s="316">
        <v>315852</v>
      </c>
      <c r="L34" s="316">
        <v>289551</v>
      </c>
      <c r="M34" s="316">
        <v>319603</v>
      </c>
      <c r="N34" s="316">
        <v>317806</v>
      </c>
      <c r="O34" s="316">
        <v>330116</v>
      </c>
      <c r="P34" s="316">
        <v>324366</v>
      </c>
      <c r="Q34" s="316">
        <v>348121</v>
      </c>
      <c r="R34" s="316">
        <v>434656</v>
      </c>
      <c r="S34" s="317">
        <f t="shared" si="0"/>
        <v>0.24857736246879678</v>
      </c>
    </row>
    <row r="35" spans="1:19" x14ac:dyDescent="0.25">
      <c r="A35" s="162" t="s">
        <v>344</v>
      </c>
      <c r="B35" s="168">
        <v>283843</v>
      </c>
      <c r="C35" s="168">
        <v>295533</v>
      </c>
      <c r="D35" s="168">
        <v>308775</v>
      </c>
      <c r="E35" s="168">
        <v>368002</v>
      </c>
      <c r="F35" s="168">
        <v>466457</v>
      </c>
      <c r="G35" s="168">
        <v>403191</v>
      </c>
      <c r="H35" s="168">
        <v>314262</v>
      </c>
      <c r="I35" s="168">
        <v>286059</v>
      </c>
      <c r="J35" s="168">
        <v>248050</v>
      </c>
      <c r="K35" s="168">
        <v>261581</v>
      </c>
      <c r="L35" s="168">
        <v>244952</v>
      </c>
      <c r="M35" s="168">
        <v>245422</v>
      </c>
      <c r="N35" s="168">
        <v>255077</v>
      </c>
      <c r="O35" s="168">
        <v>264422</v>
      </c>
      <c r="P35" s="168">
        <v>281859</v>
      </c>
      <c r="Q35" s="168">
        <v>289444</v>
      </c>
      <c r="R35" s="168">
        <v>320440</v>
      </c>
      <c r="S35" s="333">
        <f t="shared" si="0"/>
        <v>0.10708807230414173</v>
      </c>
    </row>
    <row r="36" spans="1:19" x14ac:dyDescent="0.25">
      <c r="A36" s="252" t="s">
        <v>348</v>
      </c>
      <c r="B36" s="316">
        <v>232254</v>
      </c>
      <c r="C36" s="316">
        <v>442218</v>
      </c>
      <c r="D36" s="316">
        <v>444520</v>
      </c>
      <c r="E36" s="316">
        <v>457793</v>
      </c>
      <c r="F36" s="316">
        <v>512928</v>
      </c>
      <c r="G36" s="316">
        <v>479689</v>
      </c>
      <c r="H36" s="316">
        <v>365683</v>
      </c>
      <c r="I36" s="316">
        <v>392683</v>
      </c>
      <c r="J36" s="316">
        <v>462504</v>
      </c>
      <c r="K36" s="316">
        <v>378419</v>
      </c>
      <c r="L36" s="316">
        <v>260271</v>
      </c>
      <c r="M36" s="316">
        <v>223587</v>
      </c>
      <c r="N36" s="316">
        <v>218416</v>
      </c>
      <c r="O36" s="316">
        <v>231868</v>
      </c>
      <c r="P36" s="316">
        <v>227269</v>
      </c>
      <c r="Q36" s="316">
        <v>253271</v>
      </c>
      <c r="R36" s="316">
        <v>249224</v>
      </c>
      <c r="S36" s="317">
        <f t="shared" si="0"/>
        <v>-1.5978931658184318E-2</v>
      </c>
    </row>
    <row r="37" spans="1:19" x14ac:dyDescent="0.25">
      <c r="A37" s="162" t="s">
        <v>349</v>
      </c>
      <c r="B37" s="168">
        <v>134352</v>
      </c>
      <c r="C37" s="168">
        <v>144498</v>
      </c>
      <c r="D37" s="168">
        <v>157981</v>
      </c>
      <c r="E37" s="168">
        <v>171444</v>
      </c>
      <c r="F37" s="168">
        <v>184843</v>
      </c>
      <c r="G37" s="168">
        <v>195425</v>
      </c>
      <c r="H37" s="168">
        <v>183470</v>
      </c>
      <c r="I37" s="168">
        <v>170975</v>
      </c>
      <c r="J37" s="168">
        <v>170225</v>
      </c>
      <c r="K37" s="168">
        <v>152726</v>
      </c>
      <c r="L37" s="168">
        <v>139154</v>
      </c>
      <c r="M37" s="168">
        <v>148864</v>
      </c>
      <c r="N37" s="168">
        <v>146789</v>
      </c>
      <c r="O37" s="168">
        <v>156439</v>
      </c>
      <c r="P37" s="168">
        <v>199382</v>
      </c>
      <c r="Q37" s="168">
        <v>247203</v>
      </c>
      <c r="R37" s="168">
        <v>268895</v>
      </c>
      <c r="S37" s="333">
        <f t="shared" si="0"/>
        <v>8.7749744137409338E-2</v>
      </c>
    </row>
    <row r="38" spans="1:19" x14ac:dyDescent="0.25">
      <c r="A38" s="252" t="s">
        <v>346</v>
      </c>
      <c r="B38" s="316">
        <v>312787</v>
      </c>
      <c r="C38" s="316">
        <v>321418</v>
      </c>
      <c r="D38" s="316">
        <v>342614</v>
      </c>
      <c r="E38" s="316">
        <v>375308</v>
      </c>
      <c r="F38" s="316">
        <v>500097</v>
      </c>
      <c r="G38" s="316">
        <v>434477</v>
      </c>
      <c r="H38" s="316">
        <v>335590</v>
      </c>
      <c r="I38" s="316">
        <v>291264</v>
      </c>
      <c r="J38" s="316">
        <v>238511</v>
      </c>
      <c r="K38" s="316">
        <v>190295</v>
      </c>
      <c r="L38" s="316">
        <v>155939</v>
      </c>
      <c r="M38" s="316">
        <v>138316</v>
      </c>
      <c r="N38" s="316">
        <v>148561</v>
      </c>
      <c r="O38" s="316">
        <v>153476</v>
      </c>
      <c r="P38" s="316">
        <v>165604</v>
      </c>
      <c r="Q38" s="316">
        <v>205503</v>
      </c>
      <c r="R38" s="316">
        <v>243498</v>
      </c>
      <c r="S38" s="317">
        <f t="shared" si="0"/>
        <v>0.1848878118567612</v>
      </c>
    </row>
    <row r="39" spans="1:19" x14ac:dyDescent="0.25">
      <c r="A39" s="162" t="s">
        <v>351</v>
      </c>
      <c r="B39" s="168">
        <v>66522</v>
      </c>
      <c r="C39" s="168">
        <v>82596</v>
      </c>
      <c r="D39" s="168">
        <v>72966</v>
      </c>
      <c r="E39" s="168">
        <v>80464</v>
      </c>
      <c r="F39" s="168">
        <v>91585</v>
      </c>
      <c r="G39" s="168">
        <v>81010</v>
      </c>
      <c r="H39" s="168">
        <v>75353</v>
      </c>
      <c r="I39" s="168">
        <v>61177</v>
      </c>
      <c r="J39" s="168">
        <v>56981</v>
      </c>
      <c r="K39" s="168">
        <v>65637</v>
      </c>
      <c r="L39" s="168">
        <v>29113</v>
      </c>
      <c r="M39" s="168">
        <v>39600</v>
      </c>
      <c r="N39" s="168">
        <v>22370</v>
      </c>
      <c r="O39" s="168">
        <v>32963</v>
      </c>
      <c r="P39" s="168">
        <v>49304</v>
      </c>
      <c r="Q39" s="168">
        <v>52071</v>
      </c>
      <c r="R39" s="168">
        <v>75416</v>
      </c>
      <c r="S39" s="333">
        <f t="shared" si="0"/>
        <v>0.44833016458297326</v>
      </c>
    </row>
    <row r="40" spans="1:19" x14ac:dyDescent="0.25">
      <c r="A40" s="252" t="s">
        <v>352</v>
      </c>
      <c r="B40" s="316">
        <v>28588</v>
      </c>
      <c r="C40" s="316">
        <v>30774</v>
      </c>
      <c r="D40" s="316">
        <v>34496</v>
      </c>
      <c r="E40" s="316">
        <v>38852</v>
      </c>
      <c r="F40" s="316">
        <v>40569</v>
      </c>
      <c r="G40" s="316">
        <v>41890</v>
      </c>
      <c r="H40" s="316">
        <v>34609</v>
      </c>
      <c r="I40" s="316">
        <v>32252</v>
      </c>
      <c r="J40" s="316">
        <v>32713</v>
      </c>
      <c r="K40" s="316">
        <v>19690</v>
      </c>
      <c r="L40" s="316">
        <v>24469</v>
      </c>
      <c r="M40" s="316">
        <v>28897</v>
      </c>
      <c r="N40" s="316">
        <v>34954</v>
      </c>
      <c r="O40" s="316">
        <v>38042</v>
      </c>
      <c r="P40" s="316">
        <v>48711</v>
      </c>
      <c r="Q40" s="316">
        <v>61944</v>
      </c>
      <c r="R40" s="316">
        <v>77584</v>
      </c>
      <c r="S40" s="317">
        <f t="shared" si="0"/>
        <v>0.25248611649231562</v>
      </c>
    </row>
    <row r="41" spans="1:19" x14ac:dyDescent="0.25">
      <c r="A41" s="162" t="s">
        <v>353</v>
      </c>
      <c r="B41" s="168">
        <v>31607</v>
      </c>
      <c r="C41" s="168">
        <v>65187</v>
      </c>
      <c r="D41" s="168">
        <v>80894</v>
      </c>
      <c r="E41" s="168">
        <v>126650</v>
      </c>
      <c r="F41" s="168">
        <v>161705</v>
      </c>
      <c r="G41" s="168">
        <v>123183</v>
      </c>
      <c r="H41" s="168">
        <v>94282</v>
      </c>
      <c r="I41" s="168">
        <v>93313</v>
      </c>
      <c r="J41" s="168">
        <v>85725</v>
      </c>
      <c r="K41" s="168">
        <v>50835</v>
      </c>
      <c r="L41" s="168">
        <v>30890</v>
      </c>
      <c r="M41" s="168">
        <v>23100</v>
      </c>
      <c r="N41" s="168">
        <v>38707</v>
      </c>
      <c r="O41" s="168">
        <v>36554</v>
      </c>
      <c r="P41" s="168">
        <v>44389</v>
      </c>
      <c r="Q41" s="168">
        <v>55946</v>
      </c>
      <c r="R41" s="168">
        <v>65982</v>
      </c>
      <c r="S41" s="333">
        <f t="shared" si="0"/>
        <v>0.17938726629249632</v>
      </c>
    </row>
    <row r="42" spans="1:19" x14ac:dyDescent="0.25">
      <c r="A42" s="252" t="s">
        <v>350</v>
      </c>
      <c r="B42" s="319" t="s">
        <v>335</v>
      </c>
      <c r="C42" s="319" t="s">
        <v>335</v>
      </c>
      <c r="D42" s="319" t="s">
        <v>335</v>
      </c>
      <c r="E42" s="319" t="s">
        <v>335</v>
      </c>
      <c r="F42" s="319" t="s">
        <v>335</v>
      </c>
      <c r="G42" s="319">
        <v>13037</v>
      </c>
      <c r="H42" s="319">
        <v>27710</v>
      </c>
      <c r="I42" s="319">
        <v>33595</v>
      </c>
      <c r="J42" s="319">
        <v>35447</v>
      </c>
      <c r="K42" s="319">
        <v>21057</v>
      </c>
      <c r="L42" s="319">
        <v>18905</v>
      </c>
      <c r="M42" s="316">
        <v>21583</v>
      </c>
      <c r="N42" s="316">
        <v>9080</v>
      </c>
      <c r="O42" s="316">
        <v>4682</v>
      </c>
      <c r="P42" s="316">
        <v>5933</v>
      </c>
      <c r="Q42" s="316">
        <v>10341</v>
      </c>
      <c r="R42" s="316">
        <v>17687</v>
      </c>
      <c r="S42" s="317">
        <f t="shared" si="0"/>
        <v>0.71037617251716467</v>
      </c>
    </row>
    <row r="43" spans="1:19" x14ac:dyDescent="0.25">
      <c r="A43" s="162" t="s">
        <v>347</v>
      </c>
      <c r="B43" s="168">
        <v>22650</v>
      </c>
      <c r="C43" s="168">
        <v>21553</v>
      </c>
      <c r="D43" s="168">
        <v>23456</v>
      </c>
      <c r="E43" s="168">
        <v>29308</v>
      </c>
      <c r="F43" s="168">
        <v>65216</v>
      </c>
      <c r="G43" s="168">
        <v>60103</v>
      </c>
      <c r="H43" s="168">
        <v>53088</v>
      </c>
      <c r="I43" s="168">
        <v>43179</v>
      </c>
      <c r="J43" s="168">
        <v>37257</v>
      </c>
      <c r="K43" s="168">
        <v>22716</v>
      </c>
      <c r="L43" s="168">
        <v>15830</v>
      </c>
      <c r="M43" s="168">
        <v>17745</v>
      </c>
      <c r="N43" s="168">
        <v>23052</v>
      </c>
      <c r="O43" s="168">
        <v>15526</v>
      </c>
      <c r="P43" s="168">
        <v>15027</v>
      </c>
      <c r="Q43" s="168">
        <v>14649</v>
      </c>
      <c r="R43" s="168">
        <v>17766</v>
      </c>
      <c r="S43" s="333">
        <f t="shared" si="0"/>
        <v>0.21277902928527545</v>
      </c>
    </row>
    <row r="44" spans="1:19" x14ac:dyDescent="0.25">
      <c r="A44" s="252" t="s">
        <v>354</v>
      </c>
      <c r="B44" s="316">
        <v>20222</v>
      </c>
      <c r="C44" s="316">
        <v>38385</v>
      </c>
      <c r="D44" s="316">
        <v>39150</v>
      </c>
      <c r="E44" s="316">
        <v>55469</v>
      </c>
      <c r="F44" s="316">
        <v>56371</v>
      </c>
      <c r="G44" s="316">
        <v>47896</v>
      </c>
      <c r="H44" s="316">
        <v>35664</v>
      </c>
      <c r="I44" s="316">
        <v>24522</v>
      </c>
      <c r="J44" s="316">
        <v>17877</v>
      </c>
      <c r="K44" s="316">
        <v>19263</v>
      </c>
      <c r="L44" s="316">
        <v>10598</v>
      </c>
      <c r="M44" s="316">
        <v>12239</v>
      </c>
      <c r="N44" s="316">
        <v>14981</v>
      </c>
      <c r="O44" s="316">
        <v>17374</v>
      </c>
      <c r="P44" s="316">
        <v>20010</v>
      </c>
      <c r="Q44" s="316">
        <v>21381</v>
      </c>
      <c r="R44" s="316">
        <v>19448</v>
      </c>
      <c r="S44" s="317">
        <f t="shared" si="0"/>
        <v>-9.0407371030354053E-2</v>
      </c>
    </row>
    <row r="45" spans="1:19" x14ac:dyDescent="0.25">
      <c r="A45" s="162" t="s">
        <v>345</v>
      </c>
      <c r="B45" s="168">
        <v>102328</v>
      </c>
      <c r="C45" s="168">
        <v>95094</v>
      </c>
      <c r="D45" s="168">
        <v>91594</v>
      </c>
      <c r="E45" s="168">
        <v>173605</v>
      </c>
      <c r="F45" s="168">
        <v>173878</v>
      </c>
      <c r="G45" s="168">
        <v>67818</v>
      </c>
      <c r="H45" s="168">
        <v>39933</v>
      </c>
      <c r="I45" s="168">
        <v>42073</v>
      </c>
      <c r="J45" s="168">
        <v>28211</v>
      </c>
      <c r="K45" s="168">
        <v>24389</v>
      </c>
      <c r="L45" s="168">
        <v>6912</v>
      </c>
      <c r="M45" s="168">
        <v>7073</v>
      </c>
      <c r="N45" s="168">
        <v>11182</v>
      </c>
      <c r="O45" s="168">
        <v>36716</v>
      </c>
      <c r="P45" s="168">
        <v>84261</v>
      </c>
      <c r="Q45" s="168">
        <v>140945</v>
      </c>
      <c r="R45" s="168">
        <v>174024</v>
      </c>
      <c r="S45" s="333">
        <f t="shared" si="0"/>
        <v>0.2346943843343148</v>
      </c>
    </row>
    <row r="46" spans="1:19" x14ac:dyDescent="0.25">
      <c r="A46" s="252" t="s">
        <v>343</v>
      </c>
      <c r="B46" s="316">
        <v>16789</v>
      </c>
      <c r="C46" s="316">
        <v>19332</v>
      </c>
      <c r="D46" s="316">
        <v>20604</v>
      </c>
      <c r="E46" s="316">
        <v>19557</v>
      </c>
      <c r="F46" s="316">
        <v>22410</v>
      </c>
      <c r="G46" s="316">
        <v>22230</v>
      </c>
      <c r="H46" s="316">
        <v>15459</v>
      </c>
      <c r="I46" s="316">
        <v>7822</v>
      </c>
      <c r="J46" s="316">
        <v>8442</v>
      </c>
      <c r="K46" s="316">
        <v>9835</v>
      </c>
      <c r="L46" s="316">
        <v>6955</v>
      </c>
      <c r="M46" s="316">
        <v>6613</v>
      </c>
      <c r="N46" s="316">
        <v>7357</v>
      </c>
      <c r="O46" s="316">
        <v>7397</v>
      </c>
      <c r="P46" s="316">
        <v>7910</v>
      </c>
      <c r="Q46" s="316">
        <v>8255</v>
      </c>
      <c r="R46" s="316">
        <v>10700</v>
      </c>
      <c r="S46" s="317">
        <f t="shared" si="0"/>
        <v>0.29618413082980011</v>
      </c>
    </row>
    <row r="47" spans="1:19" x14ac:dyDescent="0.25">
      <c r="A47" s="162" t="s">
        <v>355</v>
      </c>
      <c r="B47" s="318">
        <v>0</v>
      </c>
      <c r="C47" s="168">
        <v>15772</v>
      </c>
      <c r="D47" s="168">
        <v>20233</v>
      </c>
      <c r="E47" s="168">
        <v>22125</v>
      </c>
      <c r="F47" s="168">
        <v>23852</v>
      </c>
      <c r="G47" s="168">
        <v>25645</v>
      </c>
      <c r="H47" s="168">
        <v>20566</v>
      </c>
      <c r="I47" s="168">
        <v>29817</v>
      </c>
      <c r="J47" s="168">
        <v>46754</v>
      </c>
      <c r="K47" s="168">
        <v>18289</v>
      </c>
      <c r="L47" s="168">
        <v>5673</v>
      </c>
      <c r="M47" s="168">
        <v>4294</v>
      </c>
      <c r="N47" s="168">
        <v>1096</v>
      </c>
      <c r="O47" s="168">
        <v>1654</v>
      </c>
      <c r="P47" s="168">
        <v>17827</v>
      </c>
      <c r="Q47" s="168">
        <v>52180</v>
      </c>
      <c r="R47" s="168">
        <v>71654</v>
      </c>
      <c r="S47" s="333">
        <f t="shared" si="0"/>
        <v>0.37320812571866613</v>
      </c>
    </row>
    <row r="48" spans="1:19" x14ac:dyDescent="0.25">
      <c r="A48" s="252" t="s">
        <v>42</v>
      </c>
      <c r="B48" s="319" t="s">
        <v>335</v>
      </c>
      <c r="C48" s="319" t="s">
        <v>335</v>
      </c>
      <c r="D48" s="319" t="s">
        <v>335</v>
      </c>
      <c r="E48" s="319" t="s">
        <v>335</v>
      </c>
      <c r="F48" s="319" t="s">
        <v>335</v>
      </c>
      <c r="G48" s="319" t="s">
        <v>335</v>
      </c>
      <c r="H48" s="319" t="s">
        <v>335</v>
      </c>
      <c r="I48" s="319" t="s">
        <v>335</v>
      </c>
      <c r="J48" s="319">
        <v>0</v>
      </c>
      <c r="K48" s="319">
        <v>602</v>
      </c>
      <c r="L48" s="319">
        <v>2999</v>
      </c>
      <c r="M48" s="316">
        <v>2686</v>
      </c>
      <c r="N48" s="316">
        <v>3981</v>
      </c>
      <c r="O48" s="316">
        <v>4414</v>
      </c>
      <c r="P48" s="316">
        <v>4545</v>
      </c>
      <c r="Q48" s="316">
        <v>4540</v>
      </c>
      <c r="R48" s="316">
        <v>5067</v>
      </c>
      <c r="S48" s="317">
        <f t="shared" si="0"/>
        <v>0.11607929515418502</v>
      </c>
    </row>
    <row r="49" spans="1:19" x14ac:dyDescent="0.25">
      <c r="A49" s="162" t="s">
        <v>334</v>
      </c>
      <c r="B49" s="318" t="s">
        <v>335</v>
      </c>
      <c r="C49" s="318" t="s">
        <v>335</v>
      </c>
      <c r="D49" s="318" t="s">
        <v>335</v>
      </c>
      <c r="E49" s="318" t="s">
        <v>335</v>
      </c>
      <c r="F49" s="318" t="s">
        <v>335</v>
      </c>
      <c r="G49" s="318" t="s">
        <v>335</v>
      </c>
      <c r="H49" s="318" t="s">
        <v>335</v>
      </c>
      <c r="I49" s="318" t="s">
        <v>335</v>
      </c>
      <c r="J49" s="318">
        <v>0</v>
      </c>
      <c r="K49" s="318">
        <v>1031</v>
      </c>
      <c r="L49" s="318">
        <v>2922</v>
      </c>
      <c r="M49" s="168">
        <v>2483</v>
      </c>
      <c r="N49" s="168">
        <v>3538</v>
      </c>
      <c r="O49" s="168">
        <v>2278</v>
      </c>
      <c r="P49" s="168">
        <v>1160</v>
      </c>
      <c r="Q49" s="168">
        <v>2972</v>
      </c>
      <c r="R49" s="168">
        <v>4122</v>
      </c>
      <c r="S49" s="333">
        <f t="shared" si="0"/>
        <v>0.38694481830417227</v>
      </c>
    </row>
    <row r="50" spans="1:19" x14ac:dyDescent="0.25">
      <c r="A50" s="252" t="s">
        <v>328</v>
      </c>
      <c r="B50" s="316">
        <v>39</v>
      </c>
      <c r="C50" s="316">
        <v>261</v>
      </c>
      <c r="D50" s="316">
        <v>270</v>
      </c>
      <c r="E50" s="316">
        <v>179</v>
      </c>
      <c r="F50" s="316">
        <v>465</v>
      </c>
      <c r="G50" s="316">
        <v>398</v>
      </c>
      <c r="H50" s="316">
        <v>229</v>
      </c>
      <c r="I50" s="316">
        <v>295</v>
      </c>
      <c r="J50" s="316">
        <v>431</v>
      </c>
      <c r="K50" s="316">
        <v>2215</v>
      </c>
      <c r="L50" s="316">
        <v>1865</v>
      </c>
      <c r="M50" s="316">
        <v>2126</v>
      </c>
      <c r="N50" s="316">
        <v>2854</v>
      </c>
      <c r="O50" s="316">
        <v>2041</v>
      </c>
      <c r="P50" s="316">
        <v>3347</v>
      </c>
      <c r="Q50" s="316">
        <v>3347</v>
      </c>
      <c r="R50" s="316">
        <v>3570</v>
      </c>
      <c r="S50" s="317">
        <f t="shared" si="0"/>
        <v>6.6626829997012249E-2</v>
      </c>
    </row>
    <row r="51" spans="1:19" x14ac:dyDescent="0.25">
      <c r="A51" s="162" t="s">
        <v>358</v>
      </c>
      <c r="B51" s="318" t="s">
        <v>335</v>
      </c>
      <c r="C51" s="318" t="s">
        <v>335</v>
      </c>
      <c r="D51" s="318" t="s">
        <v>335</v>
      </c>
      <c r="E51" s="318" t="s">
        <v>335</v>
      </c>
      <c r="F51" s="318" t="s">
        <v>335</v>
      </c>
      <c r="G51" s="318" t="s">
        <v>335</v>
      </c>
      <c r="H51" s="318" t="s">
        <v>335</v>
      </c>
      <c r="I51" s="175">
        <v>10999</v>
      </c>
      <c r="J51" s="175">
        <v>25318</v>
      </c>
      <c r="K51" s="175">
        <v>8900</v>
      </c>
      <c r="L51" s="175">
        <v>2938</v>
      </c>
      <c r="M51" s="168">
        <v>1570</v>
      </c>
      <c r="N51" s="168">
        <v>15</v>
      </c>
      <c r="O51" s="168">
        <v>136</v>
      </c>
      <c r="P51" s="168">
        <v>10569</v>
      </c>
      <c r="Q51" s="168">
        <v>31129</v>
      </c>
      <c r="R51" s="168">
        <v>37728</v>
      </c>
      <c r="S51" s="333">
        <f t="shared" si="0"/>
        <v>0.21198882071380384</v>
      </c>
    </row>
    <row r="52" spans="1:19" x14ac:dyDescent="0.25">
      <c r="A52" s="252" t="s">
        <v>357</v>
      </c>
      <c r="B52" s="316">
        <v>4666</v>
      </c>
      <c r="C52" s="316">
        <v>15055</v>
      </c>
      <c r="D52" s="316">
        <v>15992</v>
      </c>
      <c r="E52" s="316">
        <v>17516</v>
      </c>
      <c r="F52" s="316">
        <v>19881</v>
      </c>
      <c r="G52" s="316">
        <v>19254</v>
      </c>
      <c r="H52" s="316">
        <v>15262</v>
      </c>
      <c r="I52" s="316">
        <v>11290</v>
      </c>
      <c r="J52" s="316">
        <v>8415</v>
      </c>
      <c r="K52" s="316">
        <v>3914</v>
      </c>
      <c r="L52" s="316">
        <v>1211</v>
      </c>
      <c r="M52" s="316">
        <v>1409</v>
      </c>
      <c r="N52" s="316">
        <v>1353</v>
      </c>
      <c r="O52" s="316">
        <v>1277</v>
      </c>
      <c r="P52" s="316">
        <v>1380</v>
      </c>
      <c r="Q52" s="316">
        <v>1295</v>
      </c>
      <c r="R52" s="316">
        <v>1616</v>
      </c>
      <c r="S52" s="317">
        <f t="shared" si="0"/>
        <v>0.24787644787644789</v>
      </c>
    </row>
    <row r="53" spans="1:19" x14ac:dyDescent="0.25">
      <c r="A53" s="162" t="s">
        <v>356</v>
      </c>
      <c r="B53" s="318" t="s">
        <v>335</v>
      </c>
      <c r="C53" s="318" t="s">
        <v>335</v>
      </c>
      <c r="D53" s="318" t="s">
        <v>335</v>
      </c>
      <c r="E53" s="318" t="s">
        <v>335</v>
      </c>
      <c r="F53" s="318">
        <v>1386</v>
      </c>
      <c r="G53" s="318">
        <v>3982</v>
      </c>
      <c r="H53" s="318">
        <v>6341</v>
      </c>
      <c r="I53" s="318">
        <v>6368</v>
      </c>
      <c r="J53" s="318">
        <v>2781</v>
      </c>
      <c r="K53" s="318">
        <v>1313</v>
      </c>
      <c r="L53" s="318">
        <v>273</v>
      </c>
      <c r="M53" s="168">
        <v>263</v>
      </c>
      <c r="N53" s="168">
        <v>242</v>
      </c>
      <c r="O53" s="168">
        <v>95</v>
      </c>
      <c r="P53" s="168">
        <v>257</v>
      </c>
      <c r="Q53" s="168">
        <v>1473</v>
      </c>
      <c r="R53" s="168">
        <v>622</v>
      </c>
      <c r="S53" s="333">
        <f t="shared" si="0"/>
        <v>-0.57773251866938224</v>
      </c>
    </row>
    <row r="54" spans="1:19" x14ac:dyDescent="0.25">
      <c r="A54" s="252" t="s">
        <v>359</v>
      </c>
      <c r="B54" s="316">
        <v>21253</v>
      </c>
      <c r="C54" s="316">
        <v>25979</v>
      </c>
      <c r="D54" s="316">
        <v>28197</v>
      </c>
      <c r="E54" s="316">
        <v>30587</v>
      </c>
      <c r="F54" s="316">
        <v>38304</v>
      </c>
      <c r="G54" s="316">
        <v>36561</v>
      </c>
      <c r="H54" s="316">
        <v>26650</v>
      </c>
      <c r="I54" s="316">
        <v>28888</v>
      </c>
      <c r="J54" s="316">
        <v>27801</v>
      </c>
      <c r="K54" s="316">
        <v>27076</v>
      </c>
      <c r="L54" s="316">
        <v>1953</v>
      </c>
      <c r="M54" s="316">
        <v>0</v>
      </c>
      <c r="N54" s="316">
        <v>0</v>
      </c>
      <c r="O54" s="316">
        <v>0</v>
      </c>
      <c r="P54" s="316">
        <v>0</v>
      </c>
      <c r="Q54" s="316">
        <v>0</v>
      </c>
      <c r="R54" s="316"/>
      <c r="S54" s="317"/>
    </row>
    <row r="55" spans="1:19" x14ac:dyDescent="0.25">
      <c r="A55" s="170" t="s">
        <v>361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1090712</v>
      </c>
      <c r="S55" s="333"/>
    </row>
    <row r="56" spans="1:19" ht="7.5" customHeight="1" x14ac:dyDescent="0.25">
      <c r="A56" s="320"/>
      <c r="B56" s="321"/>
      <c r="C56" s="321"/>
      <c r="D56" s="321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33"/>
    </row>
    <row r="57" spans="1:19" x14ac:dyDescent="0.25">
      <c r="A57" s="323" t="s">
        <v>35</v>
      </c>
      <c r="B57" s="324">
        <f>SUM(B6:B52)</f>
        <v>153805089</v>
      </c>
      <c r="C57" s="324">
        <f>SUM(C6:C52)</f>
        <v>166120223</v>
      </c>
      <c r="D57" s="324">
        <f>SUM(D6:D52)</f>
        <v>181249544</v>
      </c>
      <c r="E57" s="324">
        <f>SUM(E6:E52)</f>
        <v>193522591</v>
      </c>
      <c r="F57" s="324">
        <f>SUM(F6:F52)</f>
        <v>210459070</v>
      </c>
      <c r="G57" s="324">
        <f>SUM(G6:G53)</f>
        <v>203825467</v>
      </c>
      <c r="H57" s="324">
        <f>SUM(H6:H53)</f>
        <v>187323164</v>
      </c>
      <c r="I57" s="324">
        <f>SUM(I6:I54)</f>
        <v>192787860</v>
      </c>
      <c r="J57" s="324">
        <v>204386371</v>
      </c>
      <c r="K57" s="324">
        <v>194229656</v>
      </c>
      <c r="L57" s="324">
        <v>187361347</v>
      </c>
      <c r="M57" s="324">
        <f>SUM(M6:M54)</f>
        <v>195861278</v>
      </c>
      <c r="N57" s="324">
        <v>207421046</v>
      </c>
      <c r="O57" s="324">
        <v>230229523</v>
      </c>
      <c r="P57" s="324">
        <v>249223044</v>
      </c>
      <c r="Q57" s="324">
        <v>263753406</v>
      </c>
      <c r="R57" s="324">
        <f>SUM(R6:R55)</f>
        <v>275247387</v>
      </c>
      <c r="S57" s="325">
        <f t="shared" si="0"/>
        <v>4.3578512119763865E-2</v>
      </c>
    </row>
    <row r="58" spans="1:19" s="327" customFormat="1" ht="13" x14ac:dyDescent="0.3">
      <c r="A58" s="194" t="s">
        <v>53</v>
      </c>
      <c r="B58" s="194"/>
      <c r="C58" s="194"/>
      <c r="D58" s="194"/>
    </row>
    <row r="59" spans="1:19" ht="6" customHeight="1" x14ac:dyDescent="0.25"/>
    <row r="60" spans="1:19" s="167" customFormat="1" ht="10" x14ac:dyDescent="0.2">
      <c r="A60" s="167" t="s">
        <v>362</v>
      </c>
      <c r="S60" s="328"/>
    </row>
    <row r="61" spans="1:19" s="167" customFormat="1" ht="10" x14ac:dyDescent="0.2">
      <c r="A61" s="167" t="s">
        <v>363</v>
      </c>
      <c r="S61" s="328"/>
    </row>
  </sheetData>
  <mergeCells count="1">
    <mergeCell ref="S3:S4"/>
  </mergeCells>
  <pageMargins left="0.39370078740157483" right="0.19685039370078741" top="0.55118110236220474" bottom="0.39370078740157483" header="0" footer="0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235"/>
  <sheetViews>
    <sheetView zoomScaleNormal="100" workbookViewId="0">
      <selection activeCell="C10" sqref="C10"/>
    </sheetView>
  </sheetViews>
  <sheetFormatPr defaultColWidth="9.1796875" defaultRowHeight="12.5" x14ac:dyDescent="0.25"/>
  <cols>
    <col min="1" max="1" width="25.54296875" style="155" customWidth="1"/>
    <col min="2" max="5" width="12.453125" style="155" hidden="1" customWidth="1"/>
    <col min="6" max="18" width="12.453125" style="155" customWidth="1"/>
    <col min="19" max="19" width="10.54296875" style="155" customWidth="1"/>
    <col min="20" max="20" width="15.7265625" style="155" customWidth="1"/>
    <col min="21" max="256" width="9.1796875" style="155"/>
    <col min="257" max="257" width="25.54296875" style="155" customWidth="1"/>
    <col min="258" max="261" width="0" style="155" hidden="1" customWidth="1"/>
    <col min="262" max="274" width="12.453125" style="155" customWidth="1"/>
    <col min="275" max="275" width="10.54296875" style="155" customWidth="1"/>
    <col min="276" max="276" width="15.7265625" style="155" customWidth="1"/>
    <col min="277" max="512" width="9.1796875" style="155"/>
    <col min="513" max="513" width="25.54296875" style="155" customWidth="1"/>
    <col min="514" max="517" width="0" style="155" hidden="1" customWidth="1"/>
    <col min="518" max="530" width="12.453125" style="155" customWidth="1"/>
    <col min="531" max="531" width="10.54296875" style="155" customWidth="1"/>
    <col min="532" max="532" width="15.7265625" style="155" customWidth="1"/>
    <col min="533" max="768" width="9.1796875" style="155"/>
    <col min="769" max="769" width="25.54296875" style="155" customWidth="1"/>
    <col min="770" max="773" width="0" style="155" hidden="1" customWidth="1"/>
    <col min="774" max="786" width="12.453125" style="155" customWidth="1"/>
    <col min="787" max="787" width="10.54296875" style="155" customWidth="1"/>
    <col min="788" max="788" width="15.7265625" style="155" customWidth="1"/>
    <col min="789" max="1024" width="9.1796875" style="155"/>
    <col min="1025" max="1025" width="25.54296875" style="155" customWidth="1"/>
    <col min="1026" max="1029" width="0" style="155" hidden="1" customWidth="1"/>
    <col min="1030" max="1042" width="12.453125" style="155" customWidth="1"/>
    <col min="1043" max="1043" width="10.54296875" style="155" customWidth="1"/>
    <col min="1044" max="1044" width="15.7265625" style="155" customWidth="1"/>
    <col min="1045" max="1280" width="9.1796875" style="155"/>
    <col min="1281" max="1281" width="25.54296875" style="155" customWidth="1"/>
    <col min="1282" max="1285" width="0" style="155" hidden="1" customWidth="1"/>
    <col min="1286" max="1298" width="12.453125" style="155" customWidth="1"/>
    <col min="1299" max="1299" width="10.54296875" style="155" customWidth="1"/>
    <col min="1300" max="1300" width="15.7265625" style="155" customWidth="1"/>
    <col min="1301" max="1536" width="9.1796875" style="155"/>
    <col min="1537" max="1537" width="25.54296875" style="155" customWidth="1"/>
    <col min="1538" max="1541" width="0" style="155" hidden="1" customWidth="1"/>
    <col min="1542" max="1554" width="12.453125" style="155" customWidth="1"/>
    <col min="1555" max="1555" width="10.54296875" style="155" customWidth="1"/>
    <col min="1556" max="1556" width="15.7265625" style="155" customWidth="1"/>
    <col min="1557" max="1792" width="9.1796875" style="155"/>
    <col min="1793" max="1793" width="25.54296875" style="155" customWidth="1"/>
    <col min="1794" max="1797" width="0" style="155" hidden="1" customWidth="1"/>
    <col min="1798" max="1810" width="12.453125" style="155" customWidth="1"/>
    <col min="1811" max="1811" width="10.54296875" style="155" customWidth="1"/>
    <col min="1812" max="1812" width="15.7265625" style="155" customWidth="1"/>
    <col min="1813" max="2048" width="9.1796875" style="155"/>
    <col min="2049" max="2049" width="25.54296875" style="155" customWidth="1"/>
    <col min="2050" max="2053" width="0" style="155" hidden="1" customWidth="1"/>
    <col min="2054" max="2066" width="12.453125" style="155" customWidth="1"/>
    <col min="2067" max="2067" width="10.54296875" style="155" customWidth="1"/>
    <col min="2068" max="2068" width="15.7265625" style="155" customWidth="1"/>
    <col min="2069" max="2304" width="9.1796875" style="155"/>
    <col min="2305" max="2305" width="25.54296875" style="155" customWidth="1"/>
    <col min="2306" max="2309" width="0" style="155" hidden="1" customWidth="1"/>
    <col min="2310" max="2322" width="12.453125" style="155" customWidth="1"/>
    <col min="2323" max="2323" width="10.54296875" style="155" customWidth="1"/>
    <col min="2324" max="2324" width="15.7265625" style="155" customWidth="1"/>
    <col min="2325" max="2560" width="9.1796875" style="155"/>
    <col min="2561" max="2561" width="25.54296875" style="155" customWidth="1"/>
    <col min="2562" max="2565" width="0" style="155" hidden="1" customWidth="1"/>
    <col min="2566" max="2578" width="12.453125" style="155" customWidth="1"/>
    <col min="2579" max="2579" width="10.54296875" style="155" customWidth="1"/>
    <col min="2580" max="2580" width="15.7265625" style="155" customWidth="1"/>
    <col min="2581" max="2816" width="9.1796875" style="155"/>
    <col min="2817" max="2817" width="25.54296875" style="155" customWidth="1"/>
    <col min="2818" max="2821" width="0" style="155" hidden="1" customWidth="1"/>
    <col min="2822" max="2834" width="12.453125" style="155" customWidth="1"/>
    <col min="2835" max="2835" width="10.54296875" style="155" customWidth="1"/>
    <col min="2836" max="2836" width="15.7265625" style="155" customWidth="1"/>
    <col min="2837" max="3072" width="9.1796875" style="155"/>
    <col min="3073" max="3073" width="25.54296875" style="155" customWidth="1"/>
    <col min="3074" max="3077" width="0" style="155" hidden="1" customWidth="1"/>
    <col min="3078" max="3090" width="12.453125" style="155" customWidth="1"/>
    <col min="3091" max="3091" width="10.54296875" style="155" customWidth="1"/>
    <col min="3092" max="3092" width="15.7265625" style="155" customWidth="1"/>
    <col min="3093" max="3328" width="9.1796875" style="155"/>
    <col min="3329" max="3329" width="25.54296875" style="155" customWidth="1"/>
    <col min="3330" max="3333" width="0" style="155" hidden="1" customWidth="1"/>
    <col min="3334" max="3346" width="12.453125" style="155" customWidth="1"/>
    <col min="3347" max="3347" width="10.54296875" style="155" customWidth="1"/>
    <col min="3348" max="3348" width="15.7265625" style="155" customWidth="1"/>
    <col min="3349" max="3584" width="9.1796875" style="155"/>
    <col min="3585" max="3585" width="25.54296875" style="155" customWidth="1"/>
    <col min="3586" max="3589" width="0" style="155" hidden="1" customWidth="1"/>
    <col min="3590" max="3602" width="12.453125" style="155" customWidth="1"/>
    <col min="3603" max="3603" width="10.54296875" style="155" customWidth="1"/>
    <col min="3604" max="3604" width="15.7265625" style="155" customWidth="1"/>
    <col min="3605" max="3840" width="9.1796875" style="155"/>
    <col min="3841" max="3841" width="25.54296875" style="155" customWidth="1"/>
    <col min="3842" max="3845" width="0" style="155" hidden="1" customWidth="1"/>
    <col min="3846" max="3858" width="12.453125" style="155" customWidth="1"/>
    <col min="3859" max="3859" width="10.54296875" style="155" customWidth="1"/>
    <col min="3860" max="3860" width="15.7265625" style="155" customWidth="1"/>
    <col min="3861" max="4096" width="9.1796875" style="155"/>
    <col min="4097" max="4097" width="25.54296875" style="155" customWidth="1"/>
    <col min="4098" max="4101" width="0" style="155" hidden="1" customWidth="1"/>
    <col min="4102" max="4114" width="12.453125" style="155" customWidth="1"/>
    <col min="4115" max="4115" width="10.54296875" style="155" customWidth="1"/>
    <col min="4116" max="4116" width="15.7265625" style="155" customWidth="1"/>
    <col min="4117" max="4352" width="9.1796875" style="155"/>
    <col min="4353" max="4353" width="25.54296875" style="155" customWidth="1"/>
    <col min="4354" max="4357" width="0" style="155" hidden="1" customWidth="1"/>
    <col min="4358" max="4370" width="12.453125" style="155" customWidth="1"/>
    <col min="4371" max="4371" width="10.54296875" style="155" customWidth="1"/>
    <col min="4372" max="4372" width="15.7265625" style="155" customWidth="1"/>
    <col min="4373" max="4608" width="9.1796875" style="155"/>
    <col min="4609" max="4609" width="25.54296875" style="155" customWidth="1"/>
    <col min="4610" max="4613" width="0" style="155" hidden="1" customWidth="1"/>
    <col min="4614" max="4626" width="12.453125" style="155" customWidth="1"/>
    <col min="4627" max="4627" width="10.54296875" style="155" customWidth="1"/>
    <col min="4628" max="4628" width="15.7265625" style="155" customWidth="1"/>
    <col min="4629" max="4864" width="9.1796875" style="155"/>
    <col min="4865" max="4865" width="25.54296875" style="155" customWidth="1"/>
    <col min="4866" max="4869" width="0" style="155" hidden="1" customWidth="1"/>
    <col min="4870" max="4882" width="12.453125" style="155" customWidth="1"/>
    <col min="4883" max="4883" width="10.54296875" style="155" customWidth="1"/>
    <col min="4884" max="4884" width="15.7265625" style="155" customWidth="1"/>
    <col min="4885" max="5120" width="9.1796875" style="155"/>
    <col min="5121" max="5121" width="25.54296875" style="155" customWidth="1"/>
    <col min="5122" max="5125" width="0" style="155" hidden="1" customWidth="1"/>
    <col min="5126" max="5138" width="12.453125" style="155" customWidth="1"/>
    <col min="5139" max="5139" width="10.54296875" style="155" customWidth="1"/>
    <col min="5140" max="5140" width="15.7265625" style="155" customWidth="1"/>
    <col min="5141" max="5376" width="9.1796875" style="155"/>
    <col min="5377" max="5377" width="25.54296875" style="155" customWidth="1"/>
    <col min="5378" max="5381" width="0" style="155" hidden="1" customWidth="1"/>
    <col min="5382" max="5394" width="12.453125" style="155" customWidth="1"/>
    <col min="5395" max="5395" width="10.54296875" style="155" customWidth="1"/>
    <col min="5396" max="5396" width="15.7265625" style="155" customWidth="1"/>
    <col min="5397" max="5632" width="9.1796875" style="155"/>
    <col min="5633" max="5633" width="25.54296875" style="155" customWidth="1"/>
    <col min="5634" max="5637" width="0" style="155" hidden="1" customWidth="1"/>
    <col min="5638" max="5650" width="12.453125" style="155" customWidth="1"/>
    <col min="5651" max="5651" width="10.54296875" style="155" customWidth="1"/>
    <col min="5652" max="5652" width="15.7265625" style="155" customWidth="1"/>
    <col min="5653" max="5888" width="9.1796875" style="155"/>
    <col min="5889" max="5889" width="25.54296875" style="155" customWidth="1"/>
    <col min="5890" max="5893" width="0" style="155" hidden="1" customWidth="1"/>
    <col min="5894" max="5906" width="12.453125" style="155" customWidth="1"/>
    <col min="5907" max="5907" width="10.54296875" style="155" customWidth="1"/>
    <col min="5908" max="5908" width="15.7265625" style="155" customWidth="1"/>
    <col min="5909" max="6144" width="9.1796875" style="155"/>
    <col min="6145" max="6145" width="25.54296875" style="155" customWidth="1"/>
    <col min="6146" max="6149" width="0" style="155" hidden="1" customWidth="1"/>
    <col min="6150" max="6162" width="12.453125" style="155" customWidth="1"/>
    <col min="6163" max="6163" width="10.54296875" style="155" customWidth="1"/>
    <col min="6164" max="6164" width="15.7265625" style="155" customWidth="1"/>
    <col min="6165" max="6400" width="9.1796875" style="155"/>
    <col min="6401" max="6401" width="25.54296875" style="155" customWidth="1"/>
    <col min="6402" max="6405" width="0" style="155" hidden="1" customWidth="1"/>
    <col min="6406" max="6418" width="12.453125" style="155" customWidth="1"/>
    <col min="6419" max="6419" width="10.54296875" style="155" customWidth="1"/>
    <col min="6420" max="6420" width="15.7265625" style="155" customWidth="1"/>
    <col min="6421" max="6656" width="9.1796875" style="155"/>
    <col min="6657" max="6657" width="25.54296875" style="155" customWidth="1"/>
    <col min="6658" max="6661" width="0" style="155" hidden="1" customWidth="1"/>
    <col min="6662" max="6674" width="12.453125" style="155" customWidth="1"/>
    <col min="6675" max="6675" width="10.54296875" style="155" customWidth="1"/>
    <col min="6676" max="6676" width="15.7265625" style="155" customWidth="1"/>
    <col min="6677" max="6912" width="9.1796875" style="155"/>
    <col min="6913" max="6913" width="25.54296875" style="155" customWidth="1"/>
    <col min="6914" max="6917" width="0" style="155" hidden="1" customWidth="1"/>
    <col min="6918" max="6930" width="12.453125" style="155" customWidth="1"/>
    <col min="6931" max="6931" width="10.54296875" style="155" customWidth="1"/>
    <col min="6932" max="6932" width="15.7265625" style="155" customWidth="1"/>
    <col min="6933" max="7168" width="9.1796875" style="155"/>
    <col min="7169" max="7169" width="25.54296875" style="155" customWidth="1"/>
    <col min="7170" max="7173" width="0" style="155" hidden="1" customWidth="1"/>
    <col min="7174" max="7186" width="12.453125" style="155" customWidth="1"/>
    <col min="7187" max="7187" width="10.54296875" style="155" customWidth="1"/>
    <col min="7188" max="7188" width="15.7265625" style="155" customWidth="1"/>
    <col min="7189" max="7424" width="9.1796875" style="155"/>
    <col min="7425" max="7425" width="25.54296875" style="155" customWidth="1"/>
    <col min="7426" max="7429" width="0" style="155" hidden="1" customWidth="1"/>
    <col min="7430" max="7442" width="12.453125" style="155" customWidth="1"/>
    <col min="7443" max="7443" width="10.54296875" style="155" customWidth="1"/>
    <col min="7444" max="7444" width="15.7265625" style="155" customWidth="1"/>
    <col min="7445" max="7680" width="9.1796875" style="155"/>
    <col min="7681" max="7681" width="25.54296875" style="155" customWidth="1"/>
    <col min="7682" max="7685" width="0" style="155" hidden="1" customWidth="1"/>
    <col min="7686" max="7698" width="12.453125" style="155" customWidth="1"/>
    <col min="7699" max="7699" width="10.54296875" style="155" customWidth="1"/>
    <col min="7700" max="7700" width="15.7265625" style="155" customWidth="1"/>
    <col min="7701" max="7936" width="9.1796875" style="155"/>
    <col min="7937" max="7937" width="25.54296875" style="155" customWidth="1"/>
    <col min="7938" max="7941" width="0" style="155" hidden="1" customWidth="1"/>
    <col min="7942" max="7954" width="12.453125" style="155" customWidth="1"/>
    <col min="7955" max="7955" width="10.54296875" style="155" customWidth="1"/>
    <col min="7956" max="7956" width="15.7265625" style="155" customWidth="1"/>
    <col min="7957" max="8192" width="9.1796875" style="155"/>
    <col min="8193" max="8193" width="25.54296875" style="155" customWidth="1"/>
    <col min="8194" max="8197" width="0" style="155" hidden="1" customWidth="1"/>
    <col min="8198" max="8210" width="12.453125" style="155" customWidth="1"/>
    <col min="8211" max="8211" width="10.54296875" style="155" customWidth="1"/>
    <col min="8212" max="8212" width="15.7265625" style="155" customWidth="1"/>
    <col min="8213" max="8448" width="9.1796875" style="155"/>
    <col min="8449" max="8449" width="25.54296875" style="155" customWidth="1"/>
    <col min="8450" max="8453" width="0" style="155" hidden="1" customWidth="1"/>
    <col min="8454" max="8466" width="12.453125" style="155" customWidth="1"/>
    <col min="8467" max="8467" width="10.54296875" style="155" customWidth="1"/>
    <col min="8468" max="8468" width="15.7265625" style="155" customWidth="1"/>
    <col min="8469" max="8704" width="9.1796875" style="155"/>
    <col min="8705" max="8705" width="25.54296875" style="155" customWidth="1"/>
    <col min="8706" max="8709" width="0" style="155" hidden="1" customWidth="1"/>
    <col min="8710" max="8722" width="12.453125" style="155" customWidth="1"/>
    <col min="8723" max="8723" width="10.54296875" style="155" customWidth="1"/>
    <col min="8724" max="8724" width="15.7265625" style="155" customWidth="1"/>
    <col min="8725" max="8960" width="9.1796875" style="155"/>
    <col min="8961" max="8961" width="25.54296875" style="155" customWidth="1"/>
    <col min="8962" max="8965" width="0" style="155" hidden="1" customWidth="1"/>
    <col min="8966" max="8978" width="12.453125" style="155" customWidth="1"/>
    <col min="8979" max="8979" width="10.54296875" style="155" customWidth="1"/>
    <col min="8980" max="8980" width="15.7265625" style="155" customWidth="1"/>
    <col min="8981" max="9216" width="9.1796875" style="155"/>
    <col min="9217" max="9217" width="25.54296875" style="155" customWidth="1"/>
    <col min="9218" max="9221" width="0" style="155" hidden="1" customWidth="1"/>
    <col min="9222" max="9234" width="12.453125" style="155" customWidth="1"/>
    <col min="9235" max="9235" width="10.54296875" style="155" customWidth="1"/>
    <col min="9236" max="9236" width="15.7265625" style="155" customWidth="1"/>
    <col min="9237" max="9472" width="9.1796875" style="155"/>
    <col min="9473" max="9473" width="25.54296875" style="155" customWidth="1"/>
    <col min="9474" max="9477" width="0" style="155" hidden="1" customWidth="1"/>
    <col min="9478" max="9490" width="12.453125" style="155" customWidth="1"/>
    <col min="9491" max="9491" width="10.54296875" style="155" customWidth="1"/>
    <col min="9492" max="9492" width="15.7265625" style="155" customWidth="1"/>
    <col min="9493" max="9728" width="9.1796875" style="155"/>
    <col min="9729" max="9729" width="25.54296875" style="155" customWidth="1"/>
    <col min="9730" max="9733" width="0" style="155" hidden="1" customWidth="1"/>
    <col min="9734" max="9746" width="12.453125" style="155" customWidth="1"/>
    <col min="9747" max="9747" width="10.54296875" style="155" customWidth="1"/>
    <col min="9748" max="9748" width="15.7265625" style="155" customWidth="1"/>
    <col min="9749" max="9984" width="9.1796875" style="155"/>
    <col min="9985" max="9985" width="25.54296875" style="155" customWidth="1"/>
    <col min="9986" max="9989" width="0" style="155" hidden="1" customWidth="1"/>
    <col min="9990" max="10002" width="12.453125" style="155" customWidth="1"/>
    <col min="10003" max="10003" width="10.54296875" style="155" customWidth="1"/>
    <col min="10004" max="10004" width="15.7265625" style="155" customWidth="1"/>
    <col min="10005" max="10240" width="9.1796875" style="155"/>
    <col min="10241" max="10241" width="25.54296875" style="155" customWidth="1"/>
    <col min="10242" max="10245" width="0" style="155" hidden="1" customWidth="1"/>
    <col min="10246" max="10258" width="12.453125" style="155" customWidth="1"/>
    <col min="10259" max="10259" width="10.54296875" style="155" customWidth="1"/>
    <col min="10260" max="10260" width="15.7265625" style="155" customWidth="1"/>
    <col min="10261" max="10496" width="9.1796875" style="155"/>
    <col min="10497" max="10497" width="25.54296875" style="155" customWidth="1"/>
    <col min="10498" max="10501" width="0" style="155" hidden="1" customWidth="1"/>
    <col min="10502" max="10514" width="12.453125" style="155" customWidth="1"/>
    <col min="10515" max="10515" width="10.54296875" style="155" customWidth="1"/>
    <col min="10516" max="10516" width="15.7265625" style="155" customWidth="1"/>
    <col min="10517" max="10752" width="9.1796875" style="155"/>
    <col min="10753" max="10753" width="25.54296875" style="155" customWidth="1"/>
    <col min="10754" max="10757" width="0" style="155" hidden="1" customWidth="1"/>
    <col min="10758" max="10770" width="12.453125" style="155" customWidth="1"/>
    <col min="10771" max="10771" width="10.54296875" style="155" customWidth="1"/>
    <col min="10772" max="10772" width="15.7265625" style="155" customWidth="1"/>
    <col min="10773" max="11008" width="9.1796875" style="155"/>
    <col min="11009" max="11009" width="25.54296875" style="155" customWidth="1"/>
    <col min="11010" max="11013" width="0" style="155" hidden="1" customWidth="1"/>
    <col min="11014" max="11026" width="12.453125" style="155" customWidth="1"/>
    <col min="11027" max="11027" width="10.54296875" style="155" customWidth="1"/>
    <col min="11028" max="11028" width="15.7265625" style="155" customWidth="1"/>
    <col min="11029" max="11264" width="9.1796875" style="155"/>
    <col min="11265" max="11265" width="25.54296875" style="155" customWidth="1"/>
    <col min="11266" max="11269" width="0" style="155" hidden="1" customWidth="1"/>
    <col min="11270" max="11282" width="12.453125" style="155" customWidth="1"/>
    <col min="11283" max="11283" width="10.54296875" style="155" customWidth="1"/>
    <col min="11284" max="11284" width="15.7265625" style="155" customWidth="1"/>
    <col min="11285" max="11520" width="9.1796875" style="155"/>
    <col min="11521" max="11521" width="25.54296875" style="155" customWidth="1"/>
    <col min="11522" max="11525" width="0" style="155" hidden="1" customWidth="1"/>
    <col min="11526" max="11538" width="12.453125" style="155" customWidth="1"/>
    <col min="11539" max="11539" width="10.54296875" style="155" customWidth="1"/>
    <col min="11540" max="11540" width="15.7265625" style="155" customWidth="1"/>
    <col min="11541" max="11776" width="9.1796875" style="155"/>
    <col min="11777" max="11777" width="25.54296875" style="155" customWidth="1"/>
    <col min="11778" max="11781" width="0" style="155" hidden="1" customWidth="1"/>
    <col min="11782" max="11794" width="12.453125" style="155" customWidth="1"/>
    <col min="11795" max="11795" width="10.54296875" style="155" customWidth="1"/>
    <col min="11796" max="11796" width="15.7265625" style="155" customWidth="1"/>
    <col min="11797" max="12032" width="9.1796875" style="155"/>
    <col min="12033" max="12033" width="25.54296875" style="155" customWidth="1"/>
    <col min="12034" max="12037" width="0" style="155" hidden="1" customWidth="1"/>
    <col min="12038" max="12050" width="12.453125" style="155" customWidth="1"/>
    <col min="12051" max="12051" width="10.54296875" style="155" customWidth="1"/>
    <col min="12052" max="12052" width="15.7265625" style="155" customWidth="1"/>
    <col min="12053" max="12288" width="9.1796875" style="155"/>
    <col min="12289" max="12289" width="25.54296875" style="155" customWidth="1"/>
    <col min="12290" max="12293" width="0" style="155" hidden="1" customWidth="1"/>
    <col min="12294" max="12306" width="12.453125" style="155" customWidth="1"/>
    <col min="12307" max="12307" width="10.54296875" style="155" customWidth="1"/>
    <col min="12308" max="12308" width="15.7265625" style="155" customWidth="1"/>
    <col min="12309" max="12544" width="9.1796875" style="155"/>
    <col min="12545" max="12545" width="25.54296875" style="155" customWidth="1"/>
    <col min="12546" max="12549" width="0" style="155" hidden="1" customWidth="1"/>
    <col min="12550" max="12562" width="12.453125" style="155" customWidth="1"/>
    <col min="12563" max="12563" width="10.54296875" style="155" customWidth="1"/>
    <col min="12564" max="12564" width="15.7265625" style="155" customWidth="1"/>
    <col min="12565" max="12800" width="9.1796875" style="155"/>
    <col min="12801" max="12801" width="25.54296875" style="155" customWidth="1"/>
    <col min="12802" max="12805" width="0" style="155" hidden="1" customWidth="1"/>
    <col min="12806" max="12818" width="12.453125" style="155" customWidth="1"/>
    <col min="12819" max="12819" width="10.54296875" style="155" customWidth="1"/>
    <col min="12820" max="12820" width="15.7265625" style="155" customWidth="1"/>
    <col min="12821" max="13056" width="9.1796875" style="155"/>
    <col min="13057" max="13057" width="25.54296875" style="155" customWidth="1"/>
    <col min="13058" max="13061" width="0" style="155" hidden="1" customWidth="1"/>
    <col min="13062" max="13074" width="12.453125" style="155" customWidth="1"/>
    <col min="13075" max="13075" width="10.54296875" style="155" customWidth="1"/>
    <col min="13076" max="13076" width="15.7265625" style="155" customWidth="1"/>
    <col min="13077" max="13312" width="9.1796875" style="155"/>
    <col min="13313" max="13313" width="25.54296875" style="155" customWidth="1"/>
    <col min="13314" max="13317" width="0" style="155" hidden="1" customWidth="1"/>
    <col min="13318" max="13330" width="12.453125" style="155" customWidth="1"/>
    <col min="13331" max="13331" width="10.54296875" style="155" customWidth="1"/>
    <col min="13332" max="13332" width="15.7265625" style="155" customWidth="1"/>
    <col min="13333" max="13568" width="9.1796875" style="155"/>
    <col min="13569" max="13569" width="25.54296875" style="155" customWidth="1"/>
    <col min="13570" max="13573" width="0" style="155" hidden="1" customWidth="1"/>
    <col min="13574" max="13586" width="12.453125" style="155" customWidth="1"/>
    <col min="13587" max="13587" width="10.54296875" style="155" customWidth="1"/>
    <col min="13588" max="13588" width="15.7265625" style="155" customWidth="1"/>
    <col min="13589" max="13824" width="9.1796875" style="155"/>
    <col min="13825" max="13825" width="25.54296875" style="155" customWidth="1"/>
    <col min="13826" max="13829" width="0" style="155" hidden="1" customWidth="1"/>
    <col min="13830" max="13842" width="12.453125" style="155" customWidth="1"/>
    <col min="13843" max="13843" width="10.54296875" style="155" customWidth="1"/>
    <col min="13844" max="13844" width="15.7265625" style="155" customWidth="1"/>
    <col min="13845" max="14080" width="9.1796875" style="155"/>
    <col min="14081" max="14081" width="25.54296875" style="155" customWidth="1"/>
    <col min="14082" max="14085" width="0" style="155" hidden="1" customWidth="1"/>
    <col min="14086" max="14098" width="12.453125" style="155" customWidth="1"/>
    <col min="14099" max="14099" width="10.54296875" style="155" customWidth="1"/>
    <col min="14100" max="14100" width="15.7265625" style="155" customWidth="1"/>
    <col min="14101" max="14336" width="9.1796875" style="155"/>
    <col min="14337" max="14337" width="25.54296875" style="155" customWidth="1"/>
    <col min="14338" max="14341" width="0" style="155" hidden="1" customWidth="1"/>
    <col min="14342" max="14354" width="12.453125" style="155" customWidth="1"/>
    <col min="14355" max="14355" width="10.54296875" style="155" customWidth="1"/>
    <col min="14356" max="14356" width="15.7265625" style="155" customWidth="1"/>
    <col min="14357" max="14592" width="9.1796875" style="155"/>
    <col min="14593" max="14593" width="25.54296875" style="155" customWidth="1"/>
    <col min="14594" max="14597" width="0" style="155" hidden="1" customWidth="1"/>
    <col min="14598" max="14610" width="12.453125" style="155" customWidth="1"/>
    <col min="14611" max="14611" width="10.54296875" style="155" customWidth="1"/>
    <col min="14612" max="14612" width="15.7265625" style="155" customWidth="1"/>
    <col min="14613" max="14848" width="9.1796875" style="155"/>
    <col min="14849" max="14849" width="25.54296875" style="155" customWidth="1"/>
    <col min="14850" max="14853" width="0" style="155" hidden="1" customWidth="1"/>
    <col min="14854" max="14866" width="12.453125" style="155" customWidth="1"/>
    <col min="14867" max="14867" width="10.54296875" style="155" customWidth="1"/>
    <col min="14868" max="14868" width="15.7265625" style="155" customWidth="1"/>
    <col min="14869" max="15104" width="9.1796875" style="155"/>
    <col min="15105" max="15105" width="25.54296875" style="155" customWidth="1"/>
    <col min="15106" max="15109" width="0" style="155" hidden="1" customWidth="1"/>
    <col min="15110" max="15122" width="12.453125" style="155" customWidth="1"/>
    <col min="15123" max="15123" width="10.54296875" style="155" customWidth="1"/>
    <col min="15124" max="15124" width="15.7265625" style="155" customWidth="1"/>
    <col min="15125" max="15360" width="9.1796875" style="155"/>
    <col min="15361" max="15361" width="25.54296875" style="155" customWidth="1"/>
    <col min="15362" max="15365" width="0" style="155" hidden="1" customWidth="1"/>
    <col min="15366" max="15378" width="12.453125" style="155" customWidth="1"/>
    <col min="15379" max="15379" width="10.54296875" style="155" customWidth="1"/>
    <col min="15380" max="15380" width="15.7265625" style="155" customWidth="1"/>
    <col min="15381" max="15616" width="9.1796875" style="155"/>
    <col min="15617" max="15617" width="25.54296875" style="155" customWidth="1"/>
    <col min="15618" max="15621" width="0" style="155" hidden="1" customWidth="1"/>
    <col min="15622" max="15634" width="12.453125" style="155" customWidth="1"/>
    <col min="15635" max="15635" width="10.54296875" style="155" customWidth="1"/>
    <col min="15636" max="15636" width="15.7265625" style="155" customWidth="1"/>
    <col min="15637" max="15872" width="9.1796875" style="155"/>
    <col min="15873" max="15873" width="25.54296875" style="155" customWidth="1"/>
    <col min="15874" max="15877" width="0" style="155" hidden="1" customWidth="1"/>
    <col min="15878" max="15890" width="12.453125" style="155" customWidth="1"/>
    <col min="15891" max="15891" width="10.54296875" style="155" customWidth="1"/>
    <col min="15892" max="15892" width="15.7265625" style="155" customWidth="1"/>
    <col min="15893" max="16128" width="9.1796875" style="155"/>
    <col min="16129" max="16129" width="25.54296875" style="155" customWidth="1"/>
    <col min="16130" max="16133" width="0" style="155" hidden="1" customWidth="1"/>
    <col min="16134" max="16146" width="12.453125" style="155" customWidth="1"/>
    <col min="16147" max="16147" width="10.54296875" style="155" customWidth="1"/>
    <col min="16148" max="16148" width="15.7265625" style="155" customWidth="1"/>
    <col min="16149" max="16384" width="9.1796875" style="155"/>
  </cols>
  <sheetData>
    <row r="1" spans="1:19" ht="14" x14ac:dyDescent="0.3">
      <c r="A1" s="5" t="s">
        <v>367</v>
      </c>
      <c r="B1" s="5"/>
      <c r="C1" s="5"/>
      <c r="D1" s="5"/>
    </row>
    <row r="2" spans="1:19" ht="10" customHeight="1" x14ac:dyDescent="0.3">
      <c r="A2" s="5"/>
      <c r="B2" s="5"/>
      <c r="C2" s="5"/>
      <c r="D2" s="5"/>
    </row>
    <row r="3" spans="1:19" x14ac:dyDescent="0.25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46" t="s">
        <v>311</v>
      </c>
    </row>
    <row r="4" spans="1:19" ht="13" x14ac:dyDescent="0.3">
      <c r="A4" s="331" t="s">
        <v>312</v>
      </c>
      <c r="B4" s="332">
        <v>2003</v>
      </c>
      <c r="C4" s="332">
        <v>2004</v>
      </c>
      <c r="D4" s="332">
        <v>2005</v>
      </c>
      <c r="E4" s="332">
        <v>2006</v>
      </c>
      <c r="F4" s="332">
        <v>2007</v>
      </c>
      <c r="G4" s="332">
        <v>2008</v>
      </c>
      <c r="H4" s="332">
        <v>2009</v>
      </c>
      <c r="I4" s="332">
        <v>2010</v>
      </c>
      <c r="J4" s="332">
        <v>2011</v>
      </c>
      <c r="K4" s="332">
        <v>2012</v>
      </c>
      <c r="L4" s="332">
        <v>2013</v>
      </c>
      <c r="M4" s="332">
        <v>2014</v>
      </c>
      <c r="N4" s="332">
        <v>2015</v>
      </c>
      <c r="O4" s="332">
        <v>2016</v>
      </c>
      <c r="P4" s="332">
        <v>2017</v>
      </c>
      <c r="Q4" s="332">
        <v>2018</v>
      </c>
      <c r="R4" s="332">
        <v>2019</v>
      </c>
      <c r="S4" s="347"/>
    </row>
    <row r="5" spans="1:19" ht="10.5" customHeight="1" x14ac:dyDescent="0.25"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9" x14ac:dyDescent="0.25">
      <c r="A6" s="252" t="s">
        <v>313</v>
      </c>
      <c r="B6" s="316">
        <v>307026083</v>
      </c>
      <c r="C6" s="316">
        <v>341176527</v>
      </c>
      <c r="D6" s="316">
        <v>333137606</v>
      </c>
      <c r="E6" s="316">
        <v>325701766</v>
      </c>
      <c r="F6" s="316">
        <v>325201138</v>
      </c>
      <c r="G6" s="316">
        <v>329186631</v>
      </c>
      <c r="H6" s="316">
        <v>302799588</v>
      </c>
      <c r="I6" s="316">
        <v>373380254</v>
      </c>
      <c r="J6" s="316">
        <v>394154078</v>
      </c>
      <c r="K6" s="316">
        <v>359362155</v>
      </c>
      <c r="L6" s="316">
        <v>345802089</v>
      </c>
      <c r="M6" s="316">
        <v>366644938</v>
      </c>
      <c r="N6" s="316">
        <v>381594780</v>
      </c>
      <c r="O6" s="316">
        <v>415773807</v>
      </c>
      <c r="P6" s="316">
        <v>470795622</v>
      </c>
      <c r="Q6" s="316">
        <v>518858994</v>
      </c>
      <c r="R6" s="316">
        <v>560039136</v>
      </c>
      <c r="S6" s="317">
        <f>(R6-Q6)/Q6</f>
        <v>7.9366730607352637E-2</v>
      </c>
    </row>
    <row r="7" spans="1:19" x14ac:dyDescent="0.25">
      <c r="A7" s="162" t="s">
        <v>314</v>
      </c>
      <c r="B7" s="168">
        <v>70117771</v>
      </c>
      <c r="C7" s="168">
        <v>84984845</v>
      </c>
      <c r="D7" s="168">
        <v>90445906</v>
      </c>
      <c r="E7" s="168">
        <v>93403791</v>
      </c>
      <c r="F7" s="168">
        <v>96785978</v>
      </c>
      <c r="G7" s="168">
        <v>103996489</v>
      </c>
      <c r="H7" s="168">
        <v>89812753</v>
      </c>
      <c r="I7" s="168">
        <v>104279947</v>
      </c>
      <c r="J7" s="168">
        <v>96572859</v>
      </c>
      <c r="K7" s="168">
        <v>96519698</v>
      </c>
      <c r="L7" s="168">
        <v>100297049</v>
      </c>
      <c r="M7" s="168">
        <v>102692826</v>
      </c>
      <c r="N7" s="168">
        <v>117219382</v>
      </c>
      <c r="O7" s="168">
        <v>132754964</v>
      </c>
      <c r="P7" s="168">
        <v>156105304</v>
      </c>
      <c r="Q7" s="168">
        <v>172939998</v>
      </c>
      <c r="R7" s="168">
        <v>176797909</v>
      </c>
      <c r="S7" s="333">
        <f t="shared" ref="S7:S38" si="0">(R7-Q7)/Q7</f>
        <v>2.2307800651183075E-2</v>
      </c>
    </row>
    <row r="8" spans="1:19" x14ac:dyDescent="0.25">
      <c r="A8" s="252" t="s">
        <v>342</v>
      </c>
      <c r="B8" s="316">
        <v>8365562</v>
      </c>
      <c r="C8" s="316">
        <v>9160282</v>
      </c>
      <c r="D8" s="316">
        <v>3854961</v>
      </c>
      <c r="E8" s="316">
        <v>5928685</v>
      </c>
      <c r="F8" s="316">
        <v>20151390</v>
      </c>
      <c r="G8" s="316">
        <v>21438894</v>
      </c>
      <c r="H8" s="316">
        <v>36936345</v>
      </c>
      <c r="I8" s="316">
        <v>42544715</v>
      </c>
      <c r="J8" s="316">
        <v>48647400</v>
      </c>
      <c r="K8" s="316">
        <v>71093538</v>
      </c>
      <c r="L8" s="316">
        <v>71661247</v>
      </c>
      <c r="M8" s="316">
        <v>86310664</v>
      </c>
      <c r="N8" s="316">
        <v>85741369</v>
      </c>
      <c r="O8" s="316">
        <v>110563692</v>
      </c>
      <c r="P8" s="316">
        <v>142185207</v>
      </c>
      <c r="Q8" s="316">
        <v>166833763</v>
      </c>
      <c r="R8" s="316">
        <v>182619068</v>
      </c>
      <c r="S8" s="317">
        <f t="shared" si="0"/>
        <v>9.46169691083453E-2</v>
      </c>
    </row>
    <row r="9" spans="1:19" x14ac:dyDescent="0.25">
      <c r="A9" s="162" t="s">
        <v>345</v>
      </c>
      <c r="B9" s="168">
        <v>40155860</v>
      </c>
      <c r="C9" s="168">
        <v>43683433</v>
      </c>
      <c r="D9" s="168">
        <v>34785848</v>
      </c>
      <c r="E9" s="168">
        <v>31575692</v>
      </c>
      <c r="F9" s="168">
        <v>31359301</v>
      </c>
      <c r="G9" s="168">
        <v>34989727</v>
      </c>
      <c r="H9" s="168">
        <v>27388041</v>
      </c>
      <c r="I9" s="168">
        <v>27960620</v>
      </c>
      <c r="J9" s="168">
        <v>34692256</v>
      </c>
      <c r="K9" s="168">
        <v>34648127</v>
      </c>
      <c r="L9" s="168">
        <v>37482449</v>
      </c>
      <c r="M9" s="168">
        <v>44657998</v>
      </c>
      <c r="N9" s="168">
        <v>46371874</v>
      </c>
      <c r="O9" s="168">
        <v>52134714</v>
      </c>
      <c r="P9" s="168">
        <v>60484212</v>
      </c>
      <c r="Q9" s="168">
        <v>62156227</v>
      </c>
      <c r="R9" s="168">
        <v>64470673</v>
      </c>
      <c r="S9" s="333">
        <f t="shared" si="0"/>
        <v>3.7235947413603469E-2</v>
      </c>
    </row>
    <row r="10" spans="1:19" x14ac:dyDescent="0.25">
      <c r="A10" s="252" t="s">
        <v>317</v>
      </c>
      <c r="B10" s="316">
        <v>40050037</v>
      </c>
      <c r="C10" s="316">
        <v>40934830</v>
      </c>
      <c r="D10" s="316">
        <v>40389881</v>
      </c>
      <c r="E10" s="316">
        <v>38360982</v>
      </c>
      <c r="F10" s="316">
        <v>37491198</v>
      </c>
      <c r="G10" s="316">
        <v>33695248</v>
      </c>
      <c r="H10" s="316">
        <v>25992780</v>
      </c>
      <c r="I10" s="316">
        <v>24528109</v>
      </c>
      <c r="J10" s="316">
        <v>23678510</v>
      </c>
      <c r="K10" s="316">
        <v>20603186</v>
      </c>
      <c r="L10" s="316">
        <v>18781005</v>
      </c>
      <c r="M10" s="316">
        <v>19821500</v>
      </c>
      <c r="N10" s="316">
        <v>18800101</v>
      </c>
      <c r="O10" s="316">
        <v>18587918</v>
      </c>
      <c r="P10" s="316">
        <v>18045279</v>
      </c>
      <c r="Q10" s="316">
        <v>19166163</v>
      </c>
      <c r="R10" s="316">
        <v>19727786</v>
      </c>
      <c r="S10" s="317">
        <f t="shared" si="0"/>
        <v>2.9302839592880433E-2</v>
      </c>
    </row>
    <row r="11" spans="1:19" x14ac:dyDescent="0.25">
      <c r="A11" s="162" t="s">
        <v>322</v>
      </c>
      <c r="B11" s="168">
        <v>23842324</v>
      </c>
      <c r="C11" s="168">
        <v>23647190</v>
      </c>
      <c r="D11" s="168">
        <v>22163041</v>
      </c>
      <c r="E11" s="168">
        <v>23193899</v>
      </c>
      <c r="F11" s="168">
        <v>25169292</v>
      </c>
      <c r="G11" s="168">
        <v>20781674</v>
      </c>
      <c r="H11" s="168">
        <v>18304956</v>
      </c>
      <c r="I11" s="168">
        <v>15918483</v>
      </c>
      <c r="J11" s="168">
        <v>15745276</v>
      </c>
      <c r="K11" s="168">
        <v>14767267</v>
      </c>
      <c r="L11" s="168">
        <v>13473831</v>
      </c>
      <c r="M11" s="168">
        <v>13973488</v>
      </c>
      <c r="N11" s="168">
        <v>12818854</v>
      </c>
      <c r="O11" s="168">
        <v>12695826</v>
      </c>
      <c r="P11" s="168">
        <v>13044169</v>
      </c>
      <c r="Q11" s="168">
        <v>12669965</v>
      </c>
      <c r="R11" s="168">
        <v>12596348</v>
      </c>
      <c r="S11" s="333">
        <f t="shared" si="0"/>
        <v>-5.8103554350781555E-3</v>
      </c>
    </row>
    <row r="12" spans="1:19" x14ac:dyDescent="0.25">
      <c r="A12" s="252" t="s">
        <v>321</v>
      </c>
      <c r="B12" s="316">
        <v>11769667</v>
      </c>
      <c r="C12" s="316">
        <v>12169271</v>
      </c>
      <c r="D12" s="316">
        <v>12217635</v>
      </c>
      <c r="E12" s="316">
        <v>13067609</v>
      </c>
      <c r="F12" s="316">
        <v>13335387</v>
      </c>
      <c r="G12" s="316">
        <v>13325799</v>
      </c>
      <c r="H12" s="316">
        <v>9801228</v>
      </c>
      <c r="I12" s="316">
        <v>11427867</v>
      </c>
      <c r="J12" s="316">
        <v>10508668</v>
      </c>
      <c r="K12" s="316">
        <v>11125537</v>
      </c>
      <c r="L12" s="316">
        <v>11657987</v>
      </c>
      <c r="M12" s="316">
        <v>12514608</v>
      </c>
      <c r="N12" s="316">
        <v>13539904</v>
      </c>
      <c r="O12" s="316">
        <v>12580692</v>
      </c>
      <c r="P12" s="316">
        <v>13125744</v>
      </c>
      <c r="Q12" s="316">
        <v>14499793</v>
      </c>
      <c r="R12" s="316">
        <v>14515842</v>
      </c>
      <c r="S12" s="317">
        <f t="shared" si="0"/>
        <v>1.1068433873504264E-3</v>
      </c>
    </row>
    <row r="13" spans="1:19" x14ac:dyDescent="0.25">
      <c r="A13" s="162" t="s">
        <v>315</v>
      </c>
      <c r="B13" s="168">
        <v>19935400</v>
      </c>
      <c r="C13" s="168">
        <v>20408137</v>
      </c>
      <c r="D13" s="168">
        <v>21025694</v>
      </c>
      <c r="E13" s="168">
        <v>22443596</v>
      </c>
      <c r="F13" s="168">
        <v>22833556</v>
      </c>
      <c r="G13" s="168">
        <v>21395791</v>
      </c>
      <c r="H13" s="168">
        <v>17086112</v>
      </c>
      <c r="I13" s="168">
        <v>17289515</v>
      </c>
      <c r="J13" s="168">
        <v>15777101</v>
      </c>
      <c r="K13" s="168">
        <v>13711903</v>
      </c>
      <c r="L13" s="168">
        <v>12236854</v>
      </c>
      <c r="M13" s="168">
        <v>11516007</v>
      </c>
      <c r="N13" s="168">
        <v>11373639</v>
      </c>
      <c r="O13" s="168">
        <v>10452860</v>
      </c>
      <c r="P13" s="168">
        <v>10191236</v>
      </c>
      <c r="Q13" s="168">
        <v>10018045</v>
      </c>
      <c r="R13" s="168">
        <v>9021606</v>
      </c>
      <c r="S13" s="333">
        <f t="shared" si="0"/>
        <v>-9.9464416460497029E-2</v>
      </c>
    </row>
    <row r="14" spans="1:19" x14ac:dyDescent="0.25">
      <c r="A14" s="252" t="s">
        <v>325</v>
      </c>
      <c r="B14" s="316">
        <v>4287514</v>
      </c>
      <c r="C14" s="316">
        <v>5053487</v>
      </c>
      <c r="D14" s="316">
        <v>6352705</v>
      </c>
      <c r="E14" s="316">
        <v>11582808</v>
      </c>
      <c r="F14" s="316">
        <v>7395854</v>
      </c>
      <c r="G14" s="316">
        <v>6102264</v>
      </c>
      <c r="H14" s="316">
        <v>4981058</v>
      </c>
      <c r="I14" s="316">
        <v>5468086</v>
      </c>
      <c r="J14" s="316">
        <v>5126653</v>
      </c>
      <c r="K14" s="316">
        <v>4773533</v>
      </c>
      <c r="L14" s="316">
        <v>5070678</v>
      </c>
      <c r="M14" s="316">
        <v>5639473</v>
      </c>
      <c r="N14" s="316">
        <v>6007279</v>
      </c>
      <c r="O14" s="316">
        <v>6618807</v>
      </c>
      <c r="P14" s="316">
        <v>10709220</v>
      </c>
      <c r="Q14" s="316">
        <v>12561953</v>
      </c>
      <c r="R14" s="316">
        <v>9891790</v>
      </c>
      <c r="S14" s="317">
        <f t="shared" si="0"/>
        <v>-0.2125595438862094</v>
      </c>
    </row>
    <row r="15" spans="1:19" x14ac:dyDescent="0.25">
      <c r="A15" s="162" t="s">
        <v>319</v>
      </c>
      <c r="B15" s="168">
        <v>8775214</v>
      </c>
      <c r="C15" s="168">
        <v>9218052</v>
      </c>
      <c r="D15" s="168">
        <v>9770442</v>
      </c>
      <c r="E15" s="168">
        <v>9414806</v>
      </c>
      <c r="F15" s="168">
        <v>9168073</v>
      </c>
      <c r="G15" s="168">
        <v>8567093</v>
      </c>
      <c r="H15" s="168">
        <v>5371225</v>
      </c>
      <c r="I15" s="168">
        <v>4293618</v>
      </c>
      <c r="J15" s="168">
        <v>4479650</v>
      </c>
      <c r="K15" s="168">
        <v>3904961</v>
      </c>
      <c r="L15" s="168">
        <v>3395381</v>
      </c>
      <c r="M15" s="168">
        <v>3376349</v>
      </c>
      <c r="N15" s="168">
        <v>2844257</v>
      </c>
      <c r="O15" s="168">
        <v>2809261</v>
      </c>
      <c r="P15" s="168">
        <v>2796821</v>
      </c>
      <c r="Q15" s="168">
        <v>2482906</v>
      </c>
      <c r="R15" s="168">
        <v>2193378</v>
      </c>
      <c r="S15" s="333">
        <f t="shared" si="0"/>
        <v>-0.11660852243298779</v>
      </c>
    </row>
    <row r="16" spans="1:19" x14ac:dyDescent="0.25">
      <c r="A16" s="252" t="s">
        <v>324</v>
      </c>
      <c r="B16" s="316">
        <v>3813599</v>
      </c>
      <c r="C16" s="316">
        <v>4152815</v>
      </c>
      <c r="D16" s="316">
        <v>3956726</v>
      </c>
      <c r="E16" s="316">
        <v>3417746</v>
      </c>
      <c r="F16" s="316">
        <v>3230949</v>
      </c>
      <c r="G16" s="316">
        <v>3178758</v>
      </c>
      <c r="H16" s="316">
        <v>2691468</v>
      </c>
      <c r="I16" s="316">
        <v>2547998</v>
      </c>
      <c r="J16" s="316">
        <v>2633519</v>
      </c>
      <c r="K16" s="316">
        <v>2262750</v>
      </c>
      <c r="L16" s="316">
        <v>2536246</v>
      </c>
      <c r="M16" s="316">
        <v>2855628</v>
      </c>
      <c r="N16" s="316">
        <v>2871723</v>
      </c>
      <c r="O16" s="316">
        <v>2974297</v>
      </c>
      <c r="P16" s="316">
        <v>1956389</v>
      </c>
      <c r="Q16" s="316">
        <v>1216385</v>
      </c>
      <c r="R16" s="316">
        <v>979571</v>
      </c>
      <c r="S16" s="317">
        <f t="shared" si="0"/>
        <v>-0.19468671514364283</v>
      </c>
    </row>
    <row r="17" spans="1:19" x14ac:dyDescent="0.25">
      <c r="A17" s="162" t="s">
        <v>366</v>
      </c>
      <c r="B17" s="168">
        <v>5847314</v>
      </c>
      <c r="C17" s="168">
        <v>6036750</v>
      </c>
      <c r="D17" s="168">
        <v>5193241</v>
      </c>
      <c r="E17" s="168">
        <v>4931294</v>
      </c>
      <c r="F17" s="168">
        <v>4533944</v>
      </c>
      <c r="G17" s="168">
        <v>5982313</v>
      </c>
      <c r="H17" s="168">
        <v>3199730</v>
      </c>
      <c r="I17" s="168">
        <v>3112660</v>
      </c>
      <c r="J17" s="168">
        <v>3011643</v>
      </c>
      <c r="K17" s="168">
        <v>2525608</v>
      </c>
      <c r="L17" s="168">
        <v>2589198</v>
      </c>
      <c r="M17" s="168">
        <v>2637816</v>
      </c>
      <c r="N17" s="168">
        <v>3587115</v>
      </c>
      <c r="O17" s="168">
        <v>5461457</v>
      </c>
      <c r="P17" s="168">
        <v>5365947</v>
      </c>
      <c r="Q17" s="168">
        <v>4013880</v>
      </c>
      <c r="R17" s="168">
        <v>4032300</v>
      </c>
      <c r="S17" s="333">
        <f t="shared" si="0"/>
        <v>4.5890759066040841E-3</v>
      </c>
    </row>
    <row r="18" spans="1:19" x14ac:dyDescent="0.25">
      <c r="A18" s="252" t="s">
        <v>365</v>
      </c>
      <c r="B18" s="316">
        <v>6837573</v>
      </c>
      <c r="C18" s="316">
        <v>6811326</v>
      </c>
      <c r="D18" s="316">
        <v>5493316</v>
      </c>
      <c r="E18" s="316">
        <v>5399391</v>
      </c>
      <c r="F18" s="316">
        <v>5828705</v>
      </c>
      <c r="G18" s="316">
        <v>4800271</v>
      </c>
      <c r="H18" s="316">
        <v>3400994</v>
      </c>
      <c r="I18" s="316">
        <v>3063993</v>
      </c>
      <c r="J18" s="316">
        <v>2991646</v>
      </c>
      <c r="K18" s="316">
        <v>2711468</v>
      </c>
      <c r="L18" s="316">
        <v>2661017</v>
      </c>
      <c r="M18" s="316">
        <v>2497575</v>
      </c>
      <c r="N18" s="316">
        <v>2472558</v>
      </c>
      <c r="O18" s="316">
        <v>2287656</v>
      </c>
      <c r="P18" s="316">
        <v>2866680</v>
      </c>
      <c r="Q18" s="316">
        <v>2768334</v>
      </c>
      <c r="R18" s="316">
        <v>3080119</v>
      </c>
      <c r="S18" s="317">
        <f t="shared" si="0"/>
        <v>0.11262549966875385</v>
      </c>
    </row>
    <row r="19" spans="1:19" x14ac:dyDescent="0.25">
      <c r="A19" s="162" t="s">
        <v>330</v>
      </c>
      <c r="B19" s="168">
        <v>5318564</v>
      </c>
      <c r="C19" s="168">
        <v>4938613</v>
      </c>
      <c r="D19" s="168">
        <v>3805386</v>
      </c>
      <c r="E19" s="168">
        <v>2587799</v>
      </c>
      <c r="F19" s="168">
        <v>2749964</v>
      </c>
      <c r="G19" s="168">
        <v>2418798</v>
      </c>
      <c r="H19" s="168">
        <v>1988641</v>
      </c>
      <c r="I19" s="168">
        <v>1964349</v>
      </c>
      <c r="J19" s="168">
        <v>1787504</v>
      </c>
      <c r="K19" s="168">
        <v>1815840</v>
      </c>
      <c r="L19" s="168">
        <v>1928838</v>
      </c>
      <c r="M19" s="168">
        <v>2095449</v>
      </c>
      <c r="N19" s="168">
        <v>2311393</v>
      </c>
      <c r="O19" s="168">
        <v>2296632</v>
      </c>
      <c r="P19" s="168">
        <v>2693251</v>
      </c>
      <c r="Q19" s="168">
        <v>3019642</v>
      </c>
      <c r="R19" s="168">
        <v>3201215</v>
      </c>
      <c r="S19" s="333">
        <f t="shared" si="0"/>
        <v>6.0130638002783114E-2</v>
      </c>
    </row>
    <row r="20" spans="1:19" x14ac:dyDescent="0.25">
      <c r="A20" s="252" t="s">
        <v>323</v>
      </c>
      <c r="B20" s="316">
        <v>7492796</v>
      </c>
      <c r="C20" s="316">
        <v>7996939</v>
      </c>
      <c r="D20" s="316">
        <v>6629129</v>
      </c>
      <c r="E20" s="316">
        <v>6113887</v>
      </c>
      <c r="F20" s="316">
        <v>5784899</v>
      </c>
      <c r="G20" s="316">
        <v>5429589</v>
      </c>
      <c r="H20" s="316">
        <v>4146784</v>
      </c>
      <c r="I20" s="316">
        <v>3787434</v>
      </c>
      <c r="J20" s="316">
        <v>2872585</v>
      </c>
      <c r="K20" s="316">
        <v>2108324</v>
      </c>
      <c r="L20" s="316">
        <v>2081908</v>
      </c>
      <c r="M20" s="316">
        <v>2050126</v>
      </c>
      <c r="N20" s="316">
        <v>1805664</v>
      </c>
      <c r="O20" s="316">
        <v>1776502</v>
      </c>
      <c r="P20" s="316">
        <v>1825362</v>
      </c>
      <c r="Q20" s="316">
        <v>1606594</v>
      </c>
      <c r="R20" s="316">
        <v>1434288</v>
      </c>
      <c r="S20" s="317">
        <f t="shared" si="0"/>
        <v>-0.10724924903242512</v>
      </c>
    </row>
    <row r="21" spans="1:19" x14ac:dyDescent="0.25">
      <c r="A21" s="162" t="s">
        <v>320</v>
      </c>
      <c r="B21" s="168">
        <v>4232712</v>
      </c>
      <c r="C21" s="168">
        <v>4510441</v>
      </c>
      <c r="D21" s="168">
        <v>4350295</v>
      </c>
      <c r="E21" s="168">
        <v>4427140</v>
      </c>
      <c r="F21" s="168">
        <v>4308513</v>
      </c>
      <c r="G21" s="168">
        <v>3928387</v>
      </c>
      <c r="H21" s="168">
        <v>3137670</v>
      </c>
      <c r="I21" s="168">
        <v>3196183</v>
      </c>
      <c r="J21" s="168">
        <v>2755176</v>
      </c>
      <c r="K21" s="168">
        <v>2616049</v>
      </c>
      <c r="L21" s="168">
        <v>2190183</v>
      </c>
      <c r="M21" s="168">
        <v>2020675</v>
      </c>
      <c r="N21" s="168">
        <v>2023409</v>
      </c>
      <c r="O21" s="168">
        <v>1831440</v>
      </c>
      <c r="P21" s="168">
        <v>1746591</v>
      </c>
      <c r="Q21" s="168">
        <v>1616512</v>
      </c>
      <c r="R21" s="168">
        <v>1434695</v>
      </c>
      <c r="S21" s="333">
        <f t="shared" si="0"/>
        <v>-0.1124748841951065</v>
      </c>
    </row>
    <row r="22" spans="1:19" x14ac:dyDescent="0.25">
      <c r="A22" s="252" t="s">
        <v>329</v>
      </c>
      <c r="B22" s="316">
        <v>3705013</v>
      </c>
      <c r="C22" s="316">
        <v>3975395</v>
      </c>
      <c r="D22" s="316">
        <v>3829024</v>
      </c>
      <c r="E22" s="316">
        <v>3686591</v>
      </c>
      <c r="F22" s="316">
        <v>3668973</v>
      </c>
      <c r="G22" s="316">
        <v>3244377</v>
      </c>
      <c r="H22" s="316">
        <v>2621426</v>
      </c>
      <c r="I22" s="316">
        <v>2400291</v>
      </c>
      <c r="J22" s="316">
        <v>2070983</v>
      </c>
      <c r="K22" s="316">
        <v>1789942</v>
      </c>
      <c r="L22" s="316">
        <v>1633505</v>
      </c>
      <c r="M22" s="316">
        <v>1422038</v>
      </c>
      <c r="N22" s="316">
        <v>1502309</v>
      </c>
      <c r="O22" s="316">
        <v>1391088</v>
      </c>
      <c r="P22" s="316">
        <v>1474322</v>
      </c>
      <c r="Q22" s="316">
        <v>1221808</v>
      </c>
      <c r="R22" s="316">
        <v>1238622</v>
      </c>
      <c r="S22" s="317">
        <f t="shared" si="0"/>
        <v>1.3761573013108442E-2</v>
      </c>
    </row>
    <row r="23" spans="1:19" x14ac:dyDescent="0.25">
      <c r="A23" s="162" t="s">
        <v>326</v>
      </c>
      <c r="B23" s="168">
        <v>3694598</v>
      </c>
      <c r="C23" s="168">
        <v>3639811</v>
      </c>
      <c r="D23" s="168">
        <v>3178876</v>
      </c>
      <c r="E23" s="168">
        <v>3196903</v>
      </c>
      <c r="F23" s="168">
        <v>3127004</v>
      </c>
      <c r="G23" s="168">
        <v>2722661</v>
      </c>
      <c r="H23" s="168">
        <v>1913333</v>
      </c>
      <c r="I23" s="168">
        <v>1710603</v>
      </c>
      <c r="J23" s="168">
        <v>1557664</v>
      </c>
      <c r="K23" s="168">
        <v>1212677</v>
      </c>
      <c r="L23" s="168">
        <v>1022116</v>
      </c>
      <c r="M23" s="168">
        <v>978157</v>
      </c>
      <c r="N23" s="168">
        <v>937235</v>
      </c>
      <c r="O23" s="168">
        <v>944873</v>
      </c>
      <c r="P23" s="168">
        <v>946566</v>
      </c>
      <c r="Q23" s="168">
        <v>874097</v>
      </c>
      <c r="R23" s="168">
        <v>735296</v>
      </c>
      <c r="S23" s="333">
        <f t="shared" si="0"/>
        <v>-0.15879358926984077</v>
      </c>
    </row>
    <row r="24" spans="1:19" x14ac:dyDescent="0.25">
      <c r="A24" s="252" t="s">
        <v>331</v>
      </c>
      <c r="B24" s="316">
        <v>1433112</v>
      </c>
      <c r="C24" s="316">
        <v>1502289</v>
      </c>
      <c r="D24" s="316">
        <v>1439028</v>
      </c>
      <c r="E24" s="316">
        <v>1382556</v>
      </c>
      <c r="F24" s="316">
        <v>1398325</v>
      </c>
      <c r="G24" s="316">
        <v>1277264</v>
      </c>
      <c r="H24" s="316">
        <v>1083782</v>
      </c>
      <c r="I24" s="316">
        <v>959007</v>
      </c>
      <c r="J24" s="316">
        <v>851928</v>
      </c>
      <c r="K24" s="316">
        <v>686388</v>
      </c>
      <c r="L24" s="316">
        <v>577505</v>
      </c>
      <c r="M24" s="316">
        <v>549110</v>
      </c>
      <c r="N24" s="316">
        <v>565287</v>
      </c>
      <c r="O24" s="316">
        <v>583681</v>
      </c>
      <c r="P24" s="316">
        <v>617076</v>
      </c>
      <c r="Q24" s="316">
        <v>565091</v>
      </c>
      <c r="R24" s="316">
        <v>465698</v>
      </c>
      <c r="S24" s="317">
        <f t="shared" si="0"/>
        <v>-0.17588848521742514</v>
      </c>
    </row>
    <row r="25" spans="1:19" x14ac:dyDescent="0.25">
      <c r="A25" s="162" t="s">
        <v>339</v>
      </c>
      <c r="B25" s="168">
        <v>1134407</v>
      </c>
      <c r="C25" s="168">
        <v>1029729</v>
      </c>
      <c r="D25" s="168">
        <v>1363187</v>
      </c>
      <c r="E25" s="168">
        <v>1252411</v>
      </c>
      <c r="F25" s="168">
        <v>1952616</v>
      </c>
      <c r="G25" s="168">
        <v>1481939</v>
      </c>
      <c r="H25" s="168">
        <v>796720</v>
      </c>
      <c r="I25" s="168">
        <v>901192</v>
      </c>
      <c r="J25" s="168">
        <v>1113664</v>
      </c>
      <c r="K25" s="168">
        <v>570900</v>
      </c>
      <c r="L25" s="168">
        <v>448304</v>
      </c>
      <c r="M25" s="168">
        <v>435718</v>
      </c>
      <c r="N25" s="168">
        <v>536522</v>
      </c>
      <c r="O25" s="168">
        <v>476063</v>
      </c>
      <c r="P25" s="168">
        <v>771315</v>
      </c>
      <c r="Q25" s="168">
        <v>1060645</v>
      </c>
      <c r="R25" s="168">
        <v>541271</v>
      </c>
      <c r="S25" s="333">
        <f t="shared" si="0"/>
        <v>-0.48967750755436551</v>
      </c>
    </row>
    <row r="26" spans="1:19" x14ac:dyDescent="0.25">
      <c r="A26" s="252" t="s">
        <v>341</v>
      </c>
      <c r="B26" s="316">
        <v>479304</v>
      </c>
      <c r="C26" s="316">
        <v>387392</v>
      </c>
      <c r="D26" s="316">
        <v>323240</v>
      </c>
      <c r="E26" s="316">
        <v>431475</v>
      </c>
      <c r="F26" s="316">
        <v>434097</v>
      </c>
      <c r="G26" s="316">
        <v>386340</v>
      </c>
      <c r="H26" s="316">
        <v>350606</v>
      </c>
      <c r="I26" s="316">
        <v>340760</v>
      </c>
      <c r="J26" s="316">
        <v>265905</v>
      </c>
      <c r="K26" s="316">
        <v>235770</v>
      </c>
      <c r="L26" s="316">
        <v>164410</v>
      </c>
      <c r="M26" s="316">
        <v>136482</v>
      </c>
      <c r="N26" s="316">
        <v>136177</v>
      </c>
      <c r="O26" s="316">
        <v>141347</v>
      </c>
      <c r="P26" s="316">
        <v>134966</v>
      </c>
      <c r="Q26" s="316">
        <v>127817</v>
      </c>
      <c r="R26" s="316">
        <v>134568</v>
      </c>
      <c r="S26" s="317">
        <f t="shared" si="0"/>
        <v>5.2817700305906101E-2</v>
      </c>
    </row>
    <row r="27" spans="1:19" x14ac:dyDescent="0.25">
      <c r="A27" s="162" t="s">
        <v>40</v>
      </c>
      <c r="B27" s="168">
        <v>289947</v>
      </c>
      <c r="C27" s="168">
        <v>142973</v>
      </c>
      <c r="D27" s="168">
        <v>240696</v>
      </c>
      <c r="E27" s="168">
        <v>484407</v>
      </c>
      <c r="F27" s="168">
        <v>234180</v>
      </c>
      <c r="G27" s="168">
        <v>184127</v>
      </c>
      <c r="H27" s="168">
        <v>71268</v>
      </c>
      <c r="I27" s="168">
        <v>63467</v>
      </c>
      <c r="J27" s="168">
        <v>62495</v>
      </c>
      <c r="K27" s="168">
        <v>133910</v>
      </c>
      <c r="L27" s="168">
        <v>45809</v>
      </c>
      <c r="M27" s="168">
        <v>90364</v>
      </c>
      <c r="N27" s="168">
        <v>96168</v>
      </c>
      <c r="O27" s="168">
        <v>51364</v>
      </c>
      <c r="P27" s="168">
        <v>125501</v>
      </c>
      <c r="Q27" s="168">
        <v>132962</v>
      </c>
      <c r="R27" s="168">
        <v>78233</v>
      </c>
      <c r="S27" s="333">
        <f t="shared" si="0"/>
        <v>-0.41161384455709149</v>
      </c>
    </row>
    <row r="28" spans="1:19" x14ac:dyDescent="0.25">
      <c r="A28" s="252" t="s">
        <v>349</v>
      </c>
      <c r="B28" s="316">
        <v>173657</v>
      </c>
      <c r="C28" s="316">
        <v>172947</v>
      </c>
      <c r="D28" s="316">
        <v>173905</v>
      </c>
      <c r="E28" s="316">
        <v>164020</v>
      </c>
      <c r="F28" s="316">
        <v>171379</v>
      </c>
      <c r="G28" s="316">
        <v>171717</v>
      </c>
      <c r="H28" s="316">
        <v>153967</v>
      </c>
      <c r="I28" s="316">
        <v>145443</v>
      </c>
      <c r="J28" s="316">
        <v>135042</v>
      </c>
      <c r="K28" s="316">
        <v>112608</v>
      </c>
      <c r="L28" s="316">
        <v>104285</v>
      </c>
      <c r="M28" s="316">
        <v>74153</v>
      </c>
      <c r="N28" s="316">
        <v>75031</v>
      </c>
      <c r="O28" s="316">
        <v>71104</v>
      </c>
      <c r="P28" s="316">
        <v>66304</v>
      </c>
      <c r="Q28" s="316">
        <v>66051</v>
      </c>
      <c r="R28" s="316">
        <v>70644</v>
      </c>
      <c r="S28" s="317">
        <f t="shared" si="0"/>
        <v>6.9537175818685557E-2</v>
      </c>
    </row>
    <row r="29" spans="1:19" x14ac:dyDescent="0.25">
      <c r="A29" s="162" t="s">
        <v>333</v>
      </c>
      <c r="B29" s="168">
        <v>484441</v>
      </c>
      <c r="C29" s="168">
        <v>420256</v>
      </c>
      <c r="D29" s="168">
        <v>230301</v>
      </c>
      <c r="E29" s="168">
        <v>199498</v>
      </c>
      <c r="F29" s="168">
        <v>196741</v>
      </c>
      <c r="G29" s="168">
        <v>139465</v>
      </c>
      <c r="H29" s="168">
        <v>113149</v>
      </c>
      <c r="I29" s="168">
        <v>110645</v>
      </c>
      <c r="J29" s="168">
        <v>136772</v>
      </c>
      <c r="K29" s="168">
        <v>101782</v>
      </c>
      <c r="L29" s="168">
        <v>94361</v>
      </c>
      <c r="M29" s="168">
        <v>71202</v>
      </c>
      <c r="N29" s="168">
        <v>64237</v>
      </c>
      <c r="O29" s="168">
        <v>53638</v>
      </c>
      <c r="P29" s="168">
        <v>32860</v>
      </c>
      <c r="Q29" s="168">
        <v>33038</v>
      </c>
      <c r="R29" s="168">
        <v>28538</v>
      </c>
      <c r="S29" s="333">
        <f t="shared" si="0"/>
        <v>-0.13620679217870332</v>
      </c>
    </row>
    <row r="30" spans="1:19" x14ac:dyDescent="0.25">
      <c r="A30" s="252" t="s">
        <v>332</v>
      </c>
      <c r="B30" s="316">
        <v>541944</v>
      </c>
      <c r="C30" s="316">
        <v>539184</v>
      </c>
      <c r="D30" s="316">
        <v>422743</v>
      </c>
      <c r="E30" s="316">
        <v>554039</v>
      </c>
      <c r="F30" s="316">
        <v>291307</v>
      </c>
      <c r="G30" s="316">
        <v>283571</v>
      </c>
      <c r="H30" s="316">
        <v>239692</v>
      </c>
      <c r="I30" s="316">
        <v>244819</v>
      </c>
      <c r="J30" s="316">
        <v>251966</v>
      </c>
      <c r="K30" s="316">
        <v>195614</v>
      </c>
      <c r="L30" s="316">
        <v>66816</v>
      </c>
      <c r="M30" s="316">
        <v>60824</v>
      </c>
      <c r="N30" s="316">
        <v>140669</v>
      </c>
      <c r="O30" s="316">
        <v>184307</v>
      </c>
      <c r="P30" s="316">
        <v>157169</v>
      </c>
      <c r="Q30" s="316">
        <v>163907</v>
      </c>
      <c r="R30" s="316">
        <v>152304</v>
      </c>
      <c r="S30" s="317">
        <f t="shared" si="0"/>
        <v>-7.0790143190955848E-2</v>
      </c>
    </row>
    <row r="31" spans="1:19" x14ac:dyDescent="0.25">
      <c r="A31" s="162" t="s">
        <v>344</v>
      </c>
      <c r="B31" s="168">
        <v>96556</v>
      </c>
      <c r="C31" s="168">
        <v>325183</v>
      </c>
      <c r="D31" s="168">
        <v>415186</v>
      </c>
      <c r="E31" s="168">
        <v>282202</v>
      </c>
      <c r="F31" s="168">
        <v>245872</v>
      </c>
      <c r="G31" s="168">
        <v>63791</v>
      </c>
      <c r="H31" s="168">
        <v>31083</v>
      </c>
      <c r="I31" s="168">
        <v>18809</v>
      </c>
      <c r="J31" s="168">
        <v>32031</v>
      </c>
      <c r="K31" s="168">
        <v>35545</v>
      </c>
      <c r="L31" s="168">
        <v>20416</v>
      </c>
      <c r="M31" s="168">
        <v>30735</v>
      </c>
      <c r="N31" s="168">
        <v>3313</v>
      </c>
      <c r="O31" s="168">
        <v>4559</v>
      </c>
      <c r="P31" s="168">
        <v>3244</v>
      </c>
      <c r="Q31" s="168">
        <v>6697</v>
      </c>
      <c r="R31" s="168">
        <v>404</v>
      </c>
      <c r="S31" s="333">
        <f t="shared" si="0"/>
        <v>-0.9396744811109452</v>
      </c>
    </row>
    <row r="32" spans="1:19" x14ac:dyDescent="0.25">
      <c r="A32" s="252" t="s">
        <v>348</v>
      </c>
      <c r="B32" s="316">
        <v>208501</v>
      </c>
      <c r="C32" s="316">
        <v>678217</v>
      </c>
      <c r="D32" s="316">
        <v>303454</v>
      </c>
      <c r="E32" s="316">
        <v>120804</v>
      </c>
      <c r="F32" s="316">
        <v>31012</v>
      </c>
      <c r="G32" s="316">
        <v>34650</v>
      </c>
      <c r="H32" s="316">
        <v>75174</v>
      </c>
      <c r="I32" s="316">
        <v>31890</v>
      </c>
      <c r="J32" s="316">
        <v>46200</v>
      </c>
      <c r="K32" s="316">
        <v>18756</v>
      </c>
      <c r="L32" s="316">
        <v>28514</v>
      </c>
      <c r="M32" s="316">
        <v>21744</v>
      </c>
      <c r="N32" s="316">
        <v>78404</v>
      </c>
      <c r="O32" s="316">
        <v>29862</v>
      </c>
      <c r="P32" s="316">
        <v>25545</v>
      </c>
      <c r="Q32" s="316">
        <v>149687</v>
      </c>
      <c r="R32" s="316">
        <v>10849</v>
      </c>
      <c r="S32" s="317">
        <f t="shared" si="0"/>
        <v>-0.92752209610721037</v>
      </c>
    </row>
    <row r="33" spans="1:19" x14ac:dyDescent="0.25">
      <c r="A33" s="162" t="s">
        <v>336</v>
      </c>
      <c r="B33" s="168">
        <v>59353</v>
      </c>
      <c r="C33" s="168">
        <v>51138</v>
      </c>
      <c r="D33" s="168">
        <v>52779</v>
      </c>
      <c r="E33" s="168">
        <v>35550</v>
      </c>
      <c r="F33" s="168">
        <v>19890</v>
      </c>
      <c r="G33" s="168">
        <v>21322</v>
      </c>
      <c r="H33" s="168">
        <v>16238</v>
      </c>
      <c r="I33" s="168">
        <v>14074</v>
      </c>
      <c r="J33" s="168">
        <v>9836</v>
      </c>
      <c r="K33" s="168">
        <v>8632</v>
      </c>
      <c r="L33" s="168">
        <v>12204</v>
      </c>
      <c r="M33" s="168">
        <v>8588</v>
      </c>
      <c r="N33" s="168">
        <v>19224</v>
      </c>
      <c r="O33" s="168">
        <v>32118</v>
      </c>
      <c r="P33" s="168">
        <v>2041</v>
      </c>
      <c r="Q33" s="168">
        <v>9059</v>
      </c>
      <c r="R33" s="168">
        <v>187</v>
      </c>
      <c r="S33" s="333">
        <f t="shared" si="0"/>
        <v>-0.97935754498288996</v>
      </c>
    </row>
    <row r="34" spans="1:19" x14ac:dyDescent="0.25">
      <c r="A34" s="252" t="s">
        <v>346</v>
      </c>
      <c r="B34" s="316">
        <v>186276</v>
      </c>
      <c r="C34" s="316">
        <v>119427</v>
      </c>
      <c r="D34" s="316">
        <v>138754</v>
      </c>
      <c r="E34" s="316">
        <v>59217</v>
      </c>
      <c r="F34" s="316">
        <v>47455</v>
      </c>
      <c r="G34" s="316">
        <v>52942</v>
      </c>
      <c r="H34" s="316">
        <v>44578</v>
      </c>
      <c r="I34" s="316">
        <v>42548</v>
      </c>
      <c r="J34" s="316">
        <v>34162</v>
      </c>
      <c r="K34" s="316">
        <v>12061</v>
      </c>
      <c r="L34" s="316">
        <v>2822</v>
      </c>
      <c r="M34" s="316">
        <v>8277</v>
      </c>
      <c r="N34" s="316">
        <v>4279</v>
      </c>
      <c r="O34" s="316">
        <v>2006</v>
      </c>
      <c r="P34" s="316">
        <v>7293</v>
      </c>
      <c r="Q34" s="316">
        <v>29302</v>
      </c>
      <c r="R34" s="316">
        <v>22190</v>
      </c>
      <c r="S34" s="317">
        <f t="shared" si="0"/>
        <v>-0.24271380793119923</v>
      </c>
    </row>
    <row r="35" spans="1:19" x14ac:dyDescent="0.25">
      <c r="A35" s="162" t="s">
        <v>368</v>
      </c>
      <c r="B35" s="168">
        <v>146665</v>
      </c>
      <c r="C35" s="168">
        <v>98300</v>
      </c>
      <c r="D35" s="168">
        <v>239525</v>
      </c>
      <c r="E35" s="168">
        <v>107431</v>
      </c>
      <c r="F35" s="168">
        <v>89927</v>
      </c>
      <c r="G35" s="168">
        <v>90428</v>
      </c>
      <c r="H35" s="168">
        <v>97584</v>
      </c>
      <c r="I35" s="168">
        <v>98465</v>
      </c>
      <c r="J35" s="168">
        <v>54437</v>
      </c>
      <c r="K35" s="168">
        <v>33044</v>
      </c>
      <c r="L35" s="168">
        <v>4378</v>
      </c>
      <c r="M35" s="168">
        <v>7510</v>
      </c>
      <c r="N35" s="168">
        <v>6966</v>
      </c>
      <c r="O35" s="168">
        <v>283</v>
      </c>
      <c r="P35" s="168">
        <v>578</v>
      </c>
      <c r="Q35" s="168">
        <v>288</v>
      </c>
      <c r="R35" s="168">
        <v>333</v>
      </c>
      <c r="S35" s="333">
        <f t="shared" si="0"/>
        <v>0.15625</v>
      </c>
    </row>
    <row r="36" spans="1:19" x14ac:dyDescent="0.25">
      <c r="A36" s="252" t="s">
        <v>337</v>
      </c>
      <c r="B36" s="316">
        <v>101201</v>
      </c>
      <c r="C36" s="316">
        <v>85891</v>
      </c>
      <c r="D36" s="316">
        <v>65871</v>
      </c>
      <c r="E36" s="316">
        <v>69554</v>
      </c>
      <c r="F36" s="316">
        <v>72443</v>
      </c>
      <c r="G36" s="316">
        <v>66889</v>
      </c>
      <c r="H36" s="316">
        <v>41150</v>
      </c>
      <c r="I36" s="316">
        <v>37889</v>
      </c>
      <c r="J36" s="316">
        <v>34472</v>
      </c>
      <c r="K36" s="316">
        <v>27933</v>
      </c>
      <c r="L36" s="316">
        <v>12636</v>
      </c>
      <c r="M36" s="316">
        <v>3589</v>
      </c>
      <c r="N36" s="316">
        <v>990</v>
      </c>
      <c r="O36" s="316">
        <v>6449</v>
      </c>
      <c r="P36" s="316">
        <v>1291</v>
      </c>
      <c r="Q36" s="316">
        <v>336</v>
      </c>
      <c r="R36" s="316">
        <v>13</v>
      </c>
      <c r="S36" s="317">
        <f t="shared" si="0"/>
        <v>-0.96130952380952384</v>
      </c>
    </row>
    <row r="37" spans="1:19" x14ac:dyDescent="0.25">
      <c r="A37" s="162" t="s">
        <v>350</v>
      </c>
      <c r="B37" s="318" t="s">
        <v>335</v>
      </c>
      <c r="C37" s="318" t="s">
        <v>335</v>
      </c>
      <c r="D37" s="318" t="s">
        <v>335</v>
      </c>
      <c r="E37" s="318" t="s">
        <v>335</v>
      </c>
      <c r="F37" s="318" t="s">
        <v>335</v>
      </c>
      <c r="G37" s="318" t="s">
        <v>335</v>
      </c>
      <c r="H37" s="318" t="s">
        <v>335</v>
      </c>
      <c r="I37" s="318">
        <v>1766</v>
      </c>
      <c r="J37" s="318">
        <v>308</v>
      </c>
      <c r="K37" s="318">
        <v>0</v>
      </c>
      <c r="L37" s="318">
        <v>0</v>
      </c>
      <c r="M37" s="318">
        <v>3493</v>
      </c>
      <c r="N37" s="318">
        <v>0</v>
      </c>
      <c r="O37" s="318">
        <v>0</v>
      </c>
      <c r="P37" s="318">
        <v>0</v>
      </c>
      <c r="Q37" s="318">
        <v>1600</v>
      </c>
      <c r="R37" s="318">
        <v>39646</v>
      </c>
      <c r="S37" s="333">
        <f t="shared" si="0"/>
        <v>23.778749999999999</v>
      </c>
    </row>
    <row r="38" spans="1:19" x14ac:dyDescent="0.25">
      <c r="A38" s="252" t="s">
        <v>352</v>
      </c>
      <c r="B38" s="316">
        <v>2739</v>
      </c>
      <c r="C38" s="316">
        <v>3293</v>
      </c>
      <c r="D38" s="316">
        <v>6192</v>
      </c>
      <c r="E38" s="316">
        <v>4593</v>
      </c>
      <c r="F38" s="316">
        <v>638</v>
      </c>
      <c r="G38" s="316">
        <v>7863</v>
      </c>
      <c r="H38" s="316">
        <v>10577</v>
      </c>
      <c r="I38" s="316">
        <v>9199</v>
      </c>
      <c r="J38" s="316">
        <v>8239</v>
      </c>
      <c r="K38" s="316">
        <v>1712</v>
      </c>
      <c r="L38" s="316">
        <v>458</v>
      </c>
      <c r="M38" s="316">
        <v>808</v>
      </c>
      <c r="N38" s="316">
        <v>1121</v>
      </c>
      <c r="O38" s="316">
        <v>1166</v>
      </c>
      <c r="P38" s="316">
        <v>2193</v>
      </c>
      <c r="Q38" s="316">
        <v>1804</v>
      </c>
      <c r="R38" s="316">
        <v>1880</v>
      </c>
      <c r="S38" s="317">
        <f t="shared" si="0"/>
        <v>4.2128603104212861E-2</v>
      </c>
    </row>
    <row r="39" spans="1:19" x14ac:dyDescent="0.25">
      <c r="A39" s="162" t="s">
        <v>41</v>
      </c>
      <c r="B39" s="168">
        <v>4205</v>
      </c>
      <c r="C39" s="168">
        <v>11348</v>
      </c>
      <c r="D39" s="168">
        <v>17027</v>
      </c>
      <c r="E39" s="168">
        <v>5931</v>
      </c>
      <c r="F39" s="168">
        <v>11213</v>
      </c>
      <c r="G39" s="168">
        <v>119848</v>
      </c>
      <c r="H39" s="168">
        <v>9602</v>
      </c>
      <c r="I39" s="168">
        <v>241626</v>
      </c>
      <c r="J39" s="168">
        <v>34818</v>
      </c>
      <c r="K39" s="168">
        <v>14104</v>
      </c>
      <c r="L39" s="168">
        <v>60</v>
      </c>
      <c r="M39" s="168">
        <v>700</v>
      </c>
      <c r="N39" s="168">
        <v>10</v>
      </c>
      <c r="O39" s="168">
        <v>0</v>
      </c>
      <c r="P39" s="168">
        <v>0</v>
      </c>
      <c r="Q39" s="168">
        <v>0</v>
      </c>
      <c r="R39" s="168"/>
      <c r="S39" s="333"/>
    </row>
    <row r="40" spans="1:19" x14ac:dyDescent="0.25">
      <c r="A40" s="252" t="s">
        <v>340</v>
      </c>
      <c r="B40" s="316">
        <v>74442</v>
      </c>
      <c r="C40" s="316">
        <v>19101</v>
      </c>
      <c r="D40" s="316">
        <v>4832</v>
      </c>
      <c r="E40" s="316">
        <v>6921</v>
      </c>
      <c r="F40" s="316">
        <v>1728</v>
      </c>
      <c r="G40" s="316">
        <v>2730</v>
      </c>
      <c r="H40" s="316">
        <v>8578</v>
      </c>
      <c r="I40" s="316">
        <v>2584</v>
      </c>
      <c r="J40" s="316">
        <v>1465</v>
      </c>
      <c r="K40" s="316">
        <v>175</v>
      </c>
      <c r="L40" s="316">
        <v>90</v>
      </c>
      <c r="M40" s="316">
        <v>382</v>
      </c>
      <c r="N40" s="316">
        <v>550</v>
      </c>
      <c r="O40" s="316">
        <v>40</v>
      </c>
      <c r="P40" s="316">
        <v>170</v>
      </c>
      <c r="Q40" s="316">
        <v>85</v>
      </c>
      <c r="R40" s="316">
        <v>0</v>
      </c>
      <c r="S40" s="317"/>
    </row>
    <row r="41" spans="1:19" x14ac:dyDescent="0.25">
      <c r="A41" s="162" t="s">
        <v>338</v>
      </c>
      <c r="B41" s="168">
        <v>39817</v>
      </c>
      <c r="C41" s="168">
        <v>27274</v>
      </c>
      <c r="D41" s="168">
        <v>343835</v>
      </c>
      <c r="E41" s="168">
        <v>3119</v>
      </c>
      <c r="F41" s="168">
        <v>1473</v>
      </c>
      <c r="G41" s="168">
        <v>37482</v>
      </c>
      <c r="H41" s="168">
        <v>11076</v>
      </c>
      <c r="I41" s="168">
        <v>2207</v>
      </c>
      <c r="J41" s="168">
        <v>1055</v>
      </c>
      <c r="K41" s="168">
        <v>1076</v>
      </c>
      <c r="L41" s="168">
        <v>1828</v>
      </c>
      <c r="M41" s="168">
        <v>280</v>
      </c>
      <c r="N41" s="168">
        <v>318</v>
      </c>
      <c r="O41" s="168">
        <v>625</v>
      </c>
      <c r="P41" s="168">
        <v>0</v>
      </c>
      <c r="Q41" s="168">
        <v>0</v>
      </c>
      <c r="R41" s="168">
        <v>165</v>
      </c>
      <c r="S41" s="333"/>
    </row>
    <row r="42" spans="1:19" x14ac:dyDescent="0.25">
      <c r="A42" s="252" t="s">
        <v>353</v>
      </c>
      <c r="B42" s="316">
        <v>9</v>
      </c>
      <c r="C42" s="316">
        <v>33</v>
      </c>
      <c r="D42" s="316">
        <v>352</v>
      </c>
      <c r="E42" s="316">
        <v>554</v>
      </c>
      <c r="F42" s="316">
        <v>341</v>
      </c>
      <c r="G42" s="316">
        <v>15979</v>
      </c>
      <c r="H42" s="316">
        <v>3711</v>
      </c>
      <c r="I42" s="316">
        <v>3927</v>
      </c>
      <c r="J42" s="316">
        <v>6697</v>
      </c>
      <c r="K42" s="316">
        <v>814</v>
      </c>
      <c r="L42" s="316">
        <v>462</v>
      </c>
      <c r="M42" s="316">
        <v>0</v>
      </c>
      <c r="N42" s="316">
        <v>0</v>
      </c>
      <c r="O42" s="316">
        <v>0</v>
      </c>
      <c r="P42" s="316">
        <v>176</v>
      </c>
      <c r="Q42" s="316">
        <v>0</v>
      </c>
      <c r="R42" s="316"/>
      <c r="S42" s="317"/>
    </row>
    <row r="43" spans="1:19" x14ac:dyDescent="0.25">
      <c r="A43" s="162" t="s">
        <v>357</v>
      </c>
      <c r="B43" s="168" t="s">
        <v>335</v>
      </c>
      <c r="C43" s="168" t="s">
        <v>335</v>
      </c>
      <c r="D43" s="168" t="s">
        <v>335</v>
      </c>
      <c r="E43" s="168">
        <v>7</v>
      </c>
      <c r="F43" s="168">
        <v>10</v>
      </c>
      <c r="G43" s="168">
        <v>8924</v>
      </c>
      <c r="H43" s="168" t="s">
        <v>335</v>
      </c>
      <c r="I43" s="168" t="s">
        <v>335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/>
      <c r="S43" s="333"/>
    </row>
    <row r="44" spans="1:19" x14ac:dyDescent="0.25">
      <c r="A44" s="252" t="s">
        <v>355</v>
      </c>
      <c r="B44" s="316">
        <v>0</v>
      </c>
      <c r="C44" s="316">
        <v>8148</v>
      </c>
      <c r="D44" s="316">
        <v>4643</v>
      </c>
      <c r="E44" s="316">
        <v>3396</v>
      </c>
      <c r="F44" s="316">
        <v>4520</v>
      </c>
      <c r="G44" s="316">
        <v>2655</v>
      </c>
      <c r="H44" s="316">
        <v>1037</v>
      </c>
      <c r="I44" s="316">
        <v>1128</v>
      </c>
      <c r="J44" s="316">
        <v>1180</v>
      </c>
      <c r="K44" s="316">
        <v>162</v>
      </c>
      <c r="L44" s="316">
        <v>0</v>
      </c>
      <c r="M44" s="316">
        <v>0</v>
      </c>
      <c r="N44" s="316">
        <v>0</v>
      </c>
      <c r="O44" s="316">
        <v>0</v>
      </c>
      <c r="P44" s="316">
        <v>0</v>
      </c>
      <c r="Q44" s="316">
        <v>0</v>
      </c>
      <c r="R44" s="316"/>
      <c r="S44" s="317"/>
    </row>
    <row r="45" spans="1:19" x14ac:dyDescent="0.25">
      <c r="A45" s="162" t="s">
        <v>359</v>
      </c>
      <c r="B45" s="168">
        <v>1135</v>
      </c>
      <c r="C45" s="168">
        <v>18</v>
      </c>
      <c r="D45" s="168">
        <v>14333</v>
      </c>
      <c r="E45" s="168" t="s">
        <v>335</v>
      </c>
      <c r="F45" s="168">
        <v>1010</v>
      </c>
      <c r="G45" s="168">
        <v>10</v>
      </c>
      <c r="H45" s="168">
        <v>154</v>
      </c>
      <c r="I45" s="168">
        <v>42</v>
      </c>
      <c r="J45" s="168">
        <v>0</v>
      </c>
      <c r="K45" s="168">
        <v>125</v>
      </c>
      <c r="L45" s="168">
        <v>0</v>
      </c>
      <c r="M45" s="168">
        <v>0</v>
      </c>
      <c r="N45" s="168">
        <v>0</v>
      </c>
      <c r="O45" s="168">
        <v>0</v>
      </c>
      <c r="P45" s="168">
        <v>0</v>
      </c>
      <c r="Q45" s="168">
        <v>0</v>
      </c>
      <c r="R45" s="168"/>
      <c r="S45" s="333"/>
    </row>
    <row r="46" spans="1:19" x14ac:dyDescent="0.25">
      <c r="A46" s="252" t="s">
        <v>328</v>
      </c>
      <c r="B46" s="316" t="s">
        <v>335</v>
      </c>
      <c r="C46" s="316" t="s">
        <v>335</v>
      </c>
      <c r="D46" s="316" t="s">
        <v>335</v>
      </c>
      <c r="E46" s="316">
        <v>300</v>
      </c>
      <c r="F46" s="263" t="s">
        <v>335</v>
      </c>
      <c r="G46" s="263" t="s">
        <v>335</v>
      </c>
      <c r="H46" s="263" t="s">
        <v>335</v>
      </c>
      <c r="I46" s="263" t="s">
        <v>335</v>
      </c>
      <c r="J46" s="316">
        <v>0</v>
      </c>
      <c r="K46" s="316">
        <v>0</v>
      </c>
      <c r="L46" s="316">
        <v>0</v>
      </c>
      <c r="M46" s="316">
        <v>0</v>
      </c>
      <c r="N46" s="316">
        <v>0</v>
      </c>
      <c r="O46" s="316">
        <v>0</v>
      </c>
      <c r="P46" s="316">
        <v>0</v>
      </c>
      <c r="Q46" s="316">
        <v>0</v>
      </c>
      <c r="R46" s="316"/>
      <c r="S46" s="317"/>
    </row>
    <row r="47" spans="1:19" x14ac:dyDescent="0.25">
      <c r="A47" s="162" t="s">
        <v>351</v>
      </c>
      <c r="B47" s="168">
        <v>19</v>
      </c>
      <c r="C47" s="168" t="s">
        <v>335</v>
      </c>
      <c r="D47" s="168" t="s">
        <v>335</v>
      </c>
      <c r="E47" s="168" t="s">
        <v>335</v>
      </c>
      <c r="F47" s="261">
        <v>80</v>
      </c>
      <c r="G47" s="261" t="s">
        <v>335</v>
      </c>
      <c r="H47" s="261" t="s">
        <v>335</v>
      </c>
      <c r="I47" s="261" t="s">
        <v>335</v>
      </c>
      <c r="J47" s="168">
        <v>0</v>
      </c>
      <c r="K47" s="168">
        <v>0</v>
      </c>
      <c r="L47" s="168">
        <v>0</v>
      </c>
      <c r="M47" s="168">
        <v>0</v>
      </c>
      <c r="N47" s="168">
        <v>0</v>
      </c>
      <c r="O47" s="168">
        <v>0</v>
      </c>
      <c r="P47" s="168">
        <v>0</v>
      </c>
      <c r="Q47" s="168">
        <v>0</v>
      </c>
      <c r="R47" s="168"/>
      <c r="S47" s="333"/>
    </row>
    <row r="48" spans="1:19" x14ac:dyDescent="0.25">
      <c r="A48" s="252" t="s">
        <v>343</v>
      </c>
      <c r="B48" s="316" t="s">
        <v>335</v>
      </c>
      <c r="C48" s="316" t="s">
        <v>335</v>
      </c>
      <c r="D48" s="316" t="s">
        <v>335</v>
      </c>
      <c r="E48" s="316" t="s">
        <v>335</v>
      </c>
      <c r="F48" s="263" t="s">
        <v>335</v>
      </c>
      <c r="G48" s="263" t="s">
        <v>335</v>
      </c>
      <c r="H48" s="263" t="s">
        <v>335</v>
      </c>
      <c r="I48" s="263" t="s">
        <v>335</v>
      </c>
      <c r="J48" s="316">
        <v>0</v>
      </c>
      <c r="K48" s="316">
        <v>0</v>
      </c>
      <c r="L48" s="316">
        <v>0</v>
      </c>
      <c r="M48" s="316">
        <v>0</v>
      </c>
      <c r="N48" s="316">
        <v>0</v>
      </c>
      <c r="O48" s="316">
        <v>0</v>
      </c>
      <c r="P48" s="316">
        <v>0</v>
      </c>
      <c r="Q48" s="316">
        <v>0</v>
      </c>
      <c r="R48" s="316"/>
      <c r="S48" s="317"/>
    </row>
    <row r="49" spans="1:19" x14ac:dyDescent="0.25">
      <c r="A49" s="162" t="s">
        <v>354</v>
      </c>
      <c r="B49" s="168">
        <v>118</v>
      </c>
      <c r="C49" s="168">
        <v>8</v>
      </c>
      <c r="D49" s="168" t="s">
        <v>335</v>
      </c>
      <c r="E49" s="168" t="s">
        <v>335</v>
      </c>
      <c r="F49" s="261" t="s">
        <v>335</v>
      </c>
      <c r="G49" s="261" t="s">
        <v>335</v>
      </c>
      <c r="H49" s="261" t="s">
        <v>335</v>
      </c>
      <c r="I49" s="261" t="s">
        <v>335</v>
      </c>
      <c r="J49" s="168">
        <v>0</v>
      </c>
      <c r="K49" s="168">
        <v>0</v>
      </c>
      <c r="L49" s="168">
        <v>0</v>
      </c>
      <c r="M49" s="168">
        <v>0</v>
      </c>
      <c r="N49" s="168">
        <v>0</v>
      </c>
      <c r="O49" s="168">
        <v>0</v>
      </c>
      <c r="P49" s="168">
        <v>0</v>
      </c>
      <c r="Q49" s="168">
        <v>0</v>
      </c>
      <c r="R49" s="168"/>
      <c r="S49" s="333"/>
    </row>
    <row r="50" spans="1:19" x14ac:dyDescent="0.25">
      <c r="A50" s="252" t="s">
        <v>347</v>
      </c>
      <c r="B50" s="316" t="s">
        <v>335</v>
      </c>
      <c r="C50" s="316">
        <v>500</v>
      </c>
      <c r="D50" s="316">
        <v>2490</v>
      </c>
      <c r="E50" s="316" t="s">
        <v>335</v>
      </c>
      <c r="F50" s="263" t="s">
        <v>335</v>
      </c>
      <c r="G50" s="263" t="s">
        <v>335</v>
      </c>
      <c r="H50" s="263" t="s">
        <v>335</v>
      </c>
      <c r="I50" s="263" t="s">
        <v>335</v>
      </c>
      <c r="J50" s="316">
        <v>0</v>
      </c>
      <c r="K50" s="316">
        <v>0</v>
      </c>
      <c r="L50" s="316">
        <v>0</v>
      </c>
      <c r="M50" s="316">
        <v>0</v>
      </c>
      <c r="N50" s="316">
        <v>0</v>
      </c>
      <c r="O50" s="316">
        <v>114</v>
      </c>
      <c r="P50" s="316">
        <v>0</v>
      </c>
      <c r="Q50" s="316">
        <v>0</v>
      </c>
      <c r="R50" s="316"/>
      <c r="S50" s="317"/>
    </row>
    <row r="51" spans="1:19" x14ac:dyDescent="0.25">
      <c r="A51" s="162" t="s">
        <v>334</v>
      </c>
      <c r="B51" s="168" t="s">
        <v>335</v>
      </c>
      <c r="C51" s="168" t="s">
        <v>335</v>
      </c>
      <c r="D51" s="168" t="s">
        <v>335</v>
      </c>
      <c r="E51" s="168" t="s">
        <v>335</v>
      </c>
      <c r="F51" s="261" t="s">
        <v>335</v>
      </c>
      <c r="G51" s="261" t="s">
        <v>335</v>
      </c>
      <c r="H51" s="261" t="s">
        <v>335</v>
      </c>
      <c r="I51" s="261" t="s">
        <v>335</v>
      </c>
      <c r="J51" s="168">
        <v>0</v>
      </c>
      <c r="K51" s="168">
        <v>0</v>
      </c>
      <c r="L51" s="168">
        <v>0</v>
      </c>
      <c r="M51" s="168">
        <v>0</v>
      </c>
      <c r="N51" s="168">
        <v>0</v>
      </c>
      <c r="O51" s="168">
        <v>0</v>
      </c>
      <c r="P51" s="168">
        <v>0</v>
      </c>
      <c r="Q51" s="168">
        <v>0</v>
      </c>
      <c r="R51" s="168"/>
      <c r="S51" s="333"/>
    </row>
    <row r="52" spans="1:19" x14ac:dyDescent="0.25">
      <c r="A52" s="252" t="s">
        <v>42</v>
      </c>
      <c r="B52" s="316" t="s">
        <v>335</v>
      </c>
      <c r="C52" s="316" t="s">
        <v>335</v>
      </c>
      <c r="D52" s="316" t="s">
        <v>335</v>
      </c>
      <c r="E52" s="316" t="s">
        <v>335</v>
      </c>
      <c r="F52" s="263" t="s">
        <v>335</v>
      </c>
      <c r="G52" s="263" t="s">
        <v>335</v>
      </c>
      <c r="H52" s="263" t="s">
        <v>335</v>
      </c>
      <c r="I52" s="263" t="s">
        <v>335</v>
      </c>
      <c r="J52" s="316">
        <v>0</v>
      </c>
      <c r="K52" s="316">
        <v>900</v>
      </c>
      <c r="L52" s="316">
        <v>426</v>
      </c>
      <c r="M52" s="316">
        <v>0</v>
      </c>
      <c r="N52" s="316">
        <v>0</v>
      </c>
      <c r="O52" s="316">
        <v>0</v>
      </c>
      <c r="P52" s="316">
        <v>0</v>
      </c>
      <c r="Q52" s="316">
        <v>0</v>
      </c>
      <c r="R52" s="316"/>
      <c r="S52" s="317"/>
    </row>
    <row r="53" spans="1:19" x14ac:dyDescent="0.25">
      <c r="A53" s="162" t="s">
        <v>356</v>
      </c>
      <c r="B53" s="318" t="s">
        <v>335</v>
      </c>
      <c r="C53" s="318" t="s">
        <v>335</v>
      </c>
      <c r="D53" s="318" t="s">
        <v>335</v>
      </c>
      <c r="E53" s="318" t="s">
        <v>335</v>
      </c>
      <c r="F53" s="318" t="s">
        <v>335</v>
      </c>
      <c r="G53" s="318" t="s">
        <v>335</v>
      </c>
      <c r="H53" s="318" t="s">
        <v>335</v>
      </c>
      <c r="I53" s="318" t="s">
        <v>335</v>
      </c>
      <c r="J53" s="318">
        <v>0</v>
      </c>
      <c r="K53" s="318">
        <v>0</v>
      </c>
      <c r="L53" s="318">
        <v>0</v>
      </c>
      <c r="M53" s="318">
        <v>0</v>
      </c>
      <c r="N53" s="318">
        <v>0</v>
      </c>
      <c r="O53" s="318">
        <v>0</v>
      </c>
      <c r="P53" s="318">
        <v>0</v>
      </c>
      <c r="Q53" s="318">
        <v>0</v>
      </c>
      <c r="R53" s="318"/>
      <c r="S53" s="333"/>
    </row>
    <row r="54" spans="1:19" x14ac:dyDescent="0.25">
      <c r="A54" s="252" t="s">
        <v>369</v>
      </c>
      <c r="B54" s="319"/>
      <c r="C54" s="319"/>
      <c r="D54" s="319"/>
      <c r="E54" s="319"/>
      <c r="F54" s="319"/>
      <c r="G54" s="319"/>
      <c r="H54" s="319"/>
      <c r="I54" s="319"/>
      <c r="J54" s="319">
        <v>200</v>
      </c>
      <c r="K54" s="319">
        <v>0</v>
      </c>
      <c r="L54" s="319">
        <v>0</v>
      </c>
      <c r="M54" s="319">
        <v>0</v>
      </c>
      <c r="N54" s="319">
        <v>0</v>
      </c>
      <c r="O54" s="319">
        <v>0</v>
      </c>
      <c r="P54" s="319">
        <v>0</v>
      </c>
      <c r="Q54" s="319">
        <v>0</v>
      </c>
      <c r="R54" s="319"/>
      <c r="S54" s="317"/>
    </row>
    <row r="55" spans="1:19" x14ac:dyDescent="0.25">
      <c r="A55" s="170" t="s">
        <v>370</v>
      </c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3"/>
    </row>
    <row r="56" spans="1:19" x14ac:dyDescent="0.25">
      <c r="A56" s="162"/>
      <c r="B56" s="320"/>
      <c r="C56" s="320"/>
      <c r="D56" s="320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33"/>
    </row>
    <row r="57" spans="1:19" x14ac:dyDescent="0.25">
      <c r="A57" s="323" t="s">
        <v>35</v>
      </c>
      <c r="B57" s="324">
        <f>SUM(B6:B56)</f>
        <v>580725449</v>
      </c>
      <c r="C57" s="324">
        <f>SUM(C6:C56)</f>
        <v>638120793</v>
      </c>
      <c r="D57" s="324">
        <f>SUM(D6:D56)</f>
        <v>616382085</v>
      </c>
      <c r="E57" s="324">
        <f>SUM(E6:E53)</f>
        <v>613602370</v>
      </c>
      <c r="F57" s="324">
        <f>SUM(F6:F53)</f>
        <v>627330375</v>
      </c>
      <c r="G57" s="324">
        <f>SUM(G6:G53)</f>
        <v>629634700</v>
      </c>
      <c r="H57" s="324">
        <f>SUM(H6:H53)</f>
        <v>564733858</v>
      </c>
      <c r="I57" s="324">
        <f>SUM(I6:I53)</f>
        <v>652146212</v>
      </c>
      <c r="J57" s="324">
        <v>672146043</v>
      </c>
      <c r="K57" s="324">
        <v>649744574</v>
      </c>
      <c r="L57" s="324">
        <v>638087365</v>
      </c>
      <c r="M57" s="324">
        <f>SUM(M6:M54)</f>
        <v>685209274</v>
      </c>
      <c r="N57" s="324">
        <v>715552111</v>
      </c>
      <c r="O57" s="324">
        <v>795575212</v>
      </c>
      <c r="P57" s="324">
        <v>918305644</v>
      </c>
      <c r="Q57" s="324">
        <v>1010873428</v>
      </c>
      <c r="R57" s="324">
        <f>SUM(R6:R56)</f>
        <v>1069556565</v>
      </c>
      <c r="S57" s="335">
        <v>5.7000000000000002E-2</v>
      </c>
    </row>
    <row r="58" spans="1:19" ht="13" x14ac:dyDescent="0.3">
      <c r="A58" s="194" t="s">
        <v>53</v>
      </c>
      <c r="B58" s="162"/>
      <c r="C58" s="162"/>
      <c r="D58" s="162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315"/>
    </row>
    <row r="59" spans="1:19" ht="3.5" customHeight="1" x14ac:dyDescent="0.25"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315"/>
    </row>
    <row r="60" spans="1:19" s="167" customFormat="1" ht="10" x14ac:dyDescent="0.2">
      <c r="A60" s="167" t="s">
        <v>362</v>
      </c>
      <c r="S60" s="328"/>
    </row>
    <row r="61" spans="1:19" s="167" customFormat="1" ht="10" x14ac:dyDescent="0.2">
      <c r="A61" s="167" t="s">
        <v>371</v>
      </c>
      <c r="S61" s="328"/>
    </row>
    <row r="62" spans="1:19" x14ac:dyDescent="0.25"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315"/>
    </row>
    <row r="63" spans="1:19" x14ac:dyDescent="0.25"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315"/>
    </row>
    <row r="64" spans="1:19" x14ac:dyDescent="0.25"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315"/>
    </row>
    <row r="65" spans="5:19" x14ac:dyDescent="0.25"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315"/>
    </row>
    <row r="66" spans="5:19" x14ac:dyDescent="0.25"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315"/>
    </row>
    <row r="67" spans="5:19" x14ac:dyDescent="0.25"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315"/>
    </row>
    <row r="68" spans="5:19" x14ac:dyDescent="0.25"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315"/>
    </row>
    <row r="69" spans="5:19" x14ac:dyDescent="0.25"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315"/>
    </row>
    <row r="70" spans="5:19" x14ac:dyDescent="0.25"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315"/>
    </row>
    <row r="71" spans="5:19" x14ac:dyDescent="0.25"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315"/>
    </row>
    <row r="72" spans="5:19" x14ac:dyDescent="0.25"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315"/>
    </row>
    <row r="73" spans="5:19" x14ac:dyDescent="0.25"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315"/>
    </row>
    <row r="74" spans="5:19" x14ac:dyDescent="0.25"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315"/>
    </row>
    <row r="75" spans="5:19" x14ac:dyDescent="0.25"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315"/>
    </row>
    <row r="76" spans="5:19" x14ac:dyDescent="0.25"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315"/>
    </row>
    <row r="77" spans="5:19" x14ac:dyDescent="0.25"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315"/>
    </row>
    <row r="78" spans="5:19" x14ac:dyDescent="0.25"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315"/>
    </row>
    <row r="79" spans="5:19" x14ac:dyDescent="0.25"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315"/>
    </row>
    <row r="80" spans="5:19" x14ac:dyDescent="0.25"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315"/>
    </row>
    <row r="81" spans="5:19" x14ac:dyDescent="0.25"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315"/>
    </row>
    <row r="82" spans="5:19" x14ac:dyDescent="0.25"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315"/>
    </row>
    <row r="83" spans="5:19" x14ac:dyDescent="0.25"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315"/>
    </row>
    <row r="84" spans="5:19" x14ac:dyDescent="0.25"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315"/>
    </row>
    <row r="85" spans="5:19" x14ac:dyDescent="0.25"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315"/>
    </row>
    <row r="86" spans="5:19" x14ac:dyDescent="0.25"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315"/>
    </row>
    <row r="87" spans="5:19" x14ac:dyDescent="0.25"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315"/>
    </row>
    <row r="88" spans="5:19" x14ac:dyDescent="0.25"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315"/>
    </row>
    <row r="89" spans="5:19" x14ac:dyDescent="0.25"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315"/>
    </row>
    <row r="90" spans="5:19" x14ac:dyDescent="0.25"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315"/>
    </row>
    <row r="91" spans="5:19" x14ac:dyDescent="0.25"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315"/>
    </row>
    <row r="92" spans="5:19" x14ac:dyDescent="0.25"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315"/>
    </row>
    <row r="93" spans="5:19" x14ac:dyDescent="0.25"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315"/>
    </row>
    <row r="94" spans="5:19" x14ac:dyDescent="0.25"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315"/>
    </row>
    <row r="95" spans="5:19" x14ac:dyDescent="0.25"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315"/>
    </row>
    <row r="96" spans="5:19" x14ac:dyDescent="0.25"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315"/>
    </row>
    <row r="97" spans="5:19" x14ac:dyDescent="0.25"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315"/>
    </row>
    <row r="98" spans="5:19" x14ac:dyDescent="0.25"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315"/>
    </row>
    <row r="99" spans="5:19" x14ac:dyDescent="0.25"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315"/>
    </row>
    <row r="100" spans="5:19" x14ac:dyDescent="0.25"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315"/>
    </row>
    <row r="101" spans="5:19" x14ac:dyDescent="0.25">
      <c r="S101" s="315"/>
    </row>
    <row r="102" spans="5:19" x14ac:dyDescent="0.25">
      <c r="S102" s="315"/>
    </row>
    <row r="103" spans="5:19" x14ac:dyDescent="0.25">
      <c r="S103" s="315"/>
    </row>
    <row r="104" spans="5:19" x14ac:dyDescent="0.25">
      <c r="S104" s="315"/>
    </row>
    <row r="105" spans="5:19" x14ac:dyDescent="0.25">
      <c r="S105" s="315"/>
    </row>
    <row r="106" spans="5:19" x14ac:dyDescent="0.25">
      <c r="S106" s="315"/>
    </row>
    <row r="107" spans="5:19" x14ac:dyDescent="0.25">
      <c r="S107" s="315"/>
    </row>
    <row r="108" spans="5:19" x14ac:dyDescent="0.25">
      <c r="S108" s="315"/>
    </row>
    <row r="109" spans="5:19" x14ac:dyDescent="0.25">
      <c r="S109" s="315"/>
    </row>
    <row r="110" spans="5:19" x14ac:dyDescent="0.25">
      <c r="S110" s="315"/>
    </row>
    <row r="111" spans="5:19" x14ac:dyDescent="0.25">
      <c r="S111" s="315"/>
    </row>
    <row r="112" spans="5:19" x14ac:dyDescent="0.25">
      <c r="S112" s="315"/>
    </row>
    <row r="113" spans="19:19" x14ac:dyDescent="0.25">
      <c r="S113" s="315"/>
    </row>
    <row r="114" spans="19:19" x14ac:dyDescent="0.25">
      <c r="S114" s="315"/>
    </row>
    <row r="115" spans="19:19" x14ac:dyDescent="0.25">
      <c r="S115" s="315"/>
    </row>
    <row r="116" spans="19:19" x14ac:dyDescent="0.25">
      <c r="S116" s="315"/>
    </row>
    <row r="117" spans="19:19" x14ac:dyDescent="0.25">
      <c r="S117" s="315"/>
    </row>
    <row r="118" spans="19:19" x14ac:dyDescent="0.25">
      <c r="S118" s="315"/>
    </row>
    <row r="119" spans="19:19" x14ac:dyDescent="0.25">
      <c r="S119" s="315"/>
    </row>
    <row r="120" spans="19:19" x14ac:dyDescent="0.25">
      <c r="S120" s="315"/>
    </row>
    <row r="121" spans="19:19" x14ac:dyDescent="0.25">
      <c r="S121" s="315"/>
    </row>
    <row r="122" spans="19:19" x14ac:dyDescent="0.25">
      <c r="S122" s="315"/>
    </row>
    <row r="123" spans="19:19" x14ac:dyDescent="0.25">
      <c r="S123" s="315"/>
    </row>
    <row r="124" spans="19:19" x14ac:dyDescent="0.25">
      <c r="S124" s="315"/>
    </row>
    <row r="125" spans="19:19" x14ac:dyDescent="0.25">
      <c r="S125" s="315"/>
    </row>
    <row r="126" spans="19:19" x14ac:dyDescent="0.25">
      <c r="S126" s="315"/>
    </row>
    <row r="127" spans="19:19" x14ac:dyDescent="0.25">
      <c r="S127" s="315"/>
    </row>
    <row r="128" spans="19:19" x14ac:dyDescent="0.25">
      <c r="S128" s="315"/>
    </row>
    <row r="129" spans="19:19" x14ac:dyDescent="0.25">
      <c r="S129" s="315"/>
    </row>
    <row r="130" spans="19:19" x14ac:dyDescent="0.25">
      <c r="S130" s="315"/>
    </row>
    <row r="131" spans="19:19" x14ac:dyDescent="0.25">
      <c r="S131" s="315"/>
    </row>
    <row r="132" spans="19:19" x14ac:dyDescent="0.25">
      <c r="S132" s="315"/>
    </row>
    <row r="133" spans="19:19" x14ac:dyDescent="0.25">
      <c r="S133" s="315"/>
    </row>
    <row r="134" spans="19:19" x14ac:dyDescent="0.25">
      <c r="S134" s="315"/>
    </row>
    <row r="135" spans="19:19" x14ac:dyDescent="0.25">
      <c r="S135" s="315"/>
    </row>
    <row r="136" spans="19:19" x14ac:dyDescent="0.25">
      <c r="S136" s="315"/>
    </row>
    <row r="137" spans="19:19" x14ac:dyDescent="0.25">
      <c r="S137" s="315"/>
    </row>
    <row r="138" spans="19:19" x14ac:dyDescent="0.25">
      <c r="S138" s="315"/>
    </row>
    <row r="139" spans="19:19" x14ac:dyDescent="0.25">
      <c r="S139" s="315"/>
    </row>
    <row r="140" spans="19:19" x14ac:dyDescent="0.25">
      <c r="S140" s="315"/>
    </row>
    <row r="141" spans="19:19" x14ac:dyDescent="0.25">
      <c r="S141" s="315"/>
    </row>
    <row r="142" spans="19:19" x14ac:dyDescent="0.25">
      <c r="S142" s="315"/>
    </row>
    <row r="143" spans="19:19" x14ac:dyDescent="0.25">
      <c r="S143" s="315"/>
    </row>
    <row r="144" spans="19:19" x14ac:dyDescent="0.25">
      <c r="S144" s="315"/>
    </row>
    <row r="145" spans="19:19" x14ac:dyDescent="0.25">
      <c r="S145" s="315"/>
    </row>
    <row r="146" spans="19:19" x14ac:dyDescent="0.25">
      <c r="S146" s="315"/>
    </row>
    <row r="147" spans="19:19" x14ac:dyDescent="0.25">
      <c r="S147" s="315"/>
    </row>
    <row r="148" spans="19:19" x14ac:dyDescent="0.25">
      <c r="S148" s="315"/>
    </row>
    <row r="149" spans="19:19" x14ac:dyDescent="0.25">
      <c r="S149" s="315"/>
    </row>
    <row r="150" spans="19:19" x14ac:dyDescent="0.25">
      <c r="S150" s="315"/>
    </row>
    <row r="151" spans="19:19" x14ac:dyDescent="0.25">
      <c r="S151" s="315"/>
    </row>
    <row r="152" spans="19:19" x14ac:dyDescent="0.25">
      <c r="S152" s="315"/>
    </row>
    <row r="153" spans="19:19" x14ac:dyDescent="0.25">
      <c r="S153" s="315"/>
    </row>
    <row r="154" spans="19:19" x14ac:dyDescent="0.25">
      <c r="S154" s="315"/>
    </row>
    <row r="155" spans="19:19" x14ac:dyDescent="0.25">
      <c r="S155" s="315"/>
    </row>
    <row r="156" spans="19:19" x14ac:dyDescent="0.25">
      <c r="S156" s="315"/>
    </row>
    <row r="157" spans="19:19" x14ac:dyDescent="0.25">
      <c r="S157" s="315"/>
    </row>
    <row r="158" spans="19:19" x14ac:dyDescent="0.25">
      <c r="S158" s="315"/>
    </row>
    <row r="159" spans="19:19" x14ac:dyDescent="0.25">
      <c r="S159" s="315"/>
    </row>
    <row r="160" spans="19:19" x14ac:dyDescent="0.25">
      <c r="S160" s="315"/>
    </row>
    <row r="161" spans="19:19" x14ac:dyDescent="0.25">
      <c r="S161" s="315"/>
    </row>
    <row r="162" spans="19:19" x14ac:dyDescent="0.25">
      <c r="S162" s="315"/>
    </row>
    <row r="163" spans="19:19" x14ac:dyDescent="0.25">
      <c r="S163" s="315"/>
    </row>
    <row r="164" spans="19:19" x14ac:dyDescent="0.25">
      <c r="S164" s="315"/>
    </row>
    <row r="165" spans="19:19" x14ac:dyDescent="0.25">
      <c r="S165" s="315"/>
    </row>
    <row r="166" spans="19:19" x14ac:dyDescent="0.25">
      <c r="S166" s="315"/>
    </row>
    <row r="167" spans="19:19" x14ac:dyDescent="0.25">
      <c r="S167" s="315"/>
    </row>
    <row r="168" spans="19:19" x14ac:dyDescent="0.25">
      <c r="S168" s="315"/>
    </row>
    <row r="169" spans="19:19" x14ac:dyDescent="0.25">
      <c r="S169" s="315"/>
    </row>
    <row r="170" spans="19:19" x14ac:dyDescent="0.25">
      <c r="S170" s="315"/>
    </row>
    <row r="171" spans="19:19" x14ac:dyDescent="0.25">
      <c r="S171" s="315"/>
    </row>
    <row r="172" spans="19:19" x14ac:dyDescent="0.25">
      <c r="S172" s="315"/>
    </row>
    <row r="173" spans="19:19" x14ac:dyDescent="0.25">
      <c r="S173" s="315"/>
    </row>
    <row r="174" spans="19:19" x14ac:dyDescent="0.25">
      <c r="S174" s="315"/>
    </row>
    <row r="175" spans="19:19" x14ac:dyDescent="0.25">
      <c r="S175" s="315"/>
    </row>
    <row r="176" spans="19:19" x14ac:dyDescent="0.25">
      <c r="S176" s="315"/>
    </row>
    <row r="177" spans="19:19" x14ac:dyDescent="0.25">
      <c r="S177" s="315"/>
    </row>
    <row r="178" spans="19:19" x14ac:dyDescent="0.25">
      <c r="S178" s="315"/>
    </row>
    <row r="179" spans="19:19" x14ac:dyDescent="0.25">
      <c r="S179" s="315"/>
    </row>
    <row r="180" spans="19:19" x14ac:dyDescent="0.25">
      <c r="S180" s="315"/>
    </row>
    <row r="181" spans="19:19" x14ac:dyDescent="0.25">
      <c r="S181" s="315"/>
    </row>
    <row r="182" spans="19:19" x14ac:dyDescent="0.25">
      <c r="S182" s="315"/>
    </row>
    <row r="183" spans="19:19" x14ac:dyDescent="0.25">
      <c r="S183" s="315"/>
    </row>
    <row r="184" spans="19:19" x14ac:dyDescent="0.25">
      <c r="S184" s="315"/>
    </row>
    <row r="185" spans="19:19" x14ac:dyDescent="0.25">
      <c r="S185" s="315"/>
    </row>
    <row r="186" spans="19:19" x14ac:dyDescent="0.25">
      <c r="S186" s="315"/>
    </row>
    <row r="187" spans="19:19" x14ac:dyDescent="0.25">
      <c r="S187" s="315"/>
    </row>
    <row r="188" spans="19:19" x14ac:dyDescent="0.25">
      <c r="S188" s="315"/>
    </row>
    <row r="189" spans="19:19" x14ac:dyDescent="0.25">
      <c r="S189" s="315"/>
    </row>
    <row r="190" spans="19:19" x14ac:dyDescent="0.25">
      <c r="S190" s="315"/>
    </row>
    <row r="191" spans="19:19" x14ac:dyDescent="0.25">
      <c r="S191" s="315"/>
    </row>
    <row r="192" spans="19:19" x14ac:dyDescent="0.25">
      <c r="S192" s="315"/>
    </row>
    <row r="193" spans="19:19" x14ac:dyDescent="0.25">
      <c r="S193" s="315"/>
    </row>
    <row r="194" spans="19:19" x14ac:dyDescent="0.25">
      <c r="S194" s="315"/>
    </row>
    <row r="195" spans="19:19" x14ac:dyDescent="0.25">
      <c r="S195" s="315"/>
    </row>
    <row r="196" spans="19:19" x14ac:dyDescent="0.25">
      <c r="S196" s="315"/>
    </row>
    <row r="197" spans="19:19" x14ac:dyDescent="0.25">
      <c r="S197" s="315"/>
    </row>
    <row r="198" spans="19:19" x14ac:dyDescent="0.25">
      <c r="S198" s="315"/>
    </row>
    <row r="199" spans="19:19" x14ac:dyDescent="0.25">
      <c r="S199" s="315"/>
    </row>
    <row r="200" spans="19:19" x14ac:dyDescent="0.25">
      <c r="S200" s="315"/>
    </row>
    <row r="201" spans="19:19" x14ac:dyDescent="0.25">
      <c r="S201" s="315"/>
    </row>
    <row r="202" spans="19:19" x14ac:dyDescent="0.25">
      <c r="S202" s="315"/>
    </row>
    <row r="203" spans="19:19" x14ac:dyDescent="0.25">
      <c r="S203" s="315"/>
    </row>
    <row r="204" spans="19:19" x14ac:dyDescent="0.25">
      <c r="S204" s="315"/>
    </row>
    <row r="205" spans="19:19" x14ac:dyDescent="0.25">
      <c r="S205" s="315"/>
    </row>
    <row r="206" spans="19:19" x14ac:dyDescent="0.25">
      <c r="S206" s="315"/>
    </row>
    <row r="207" spans="19:19" x14ac:dyDescent="0.25">
      <c r="S207" s="315"/>
    </row>
    <row r="208" spans="19:19" x14ac:dyDescent="0.25">
      <c r="S208" s="315"/>
    </row>
    <row r="209" spans="19:19" x14ac:dyDescent="0.25">
      <c r="S209" s="315"/>
    </row>
    <row r="210" spans="19:19" x14ac:dyDescent="0.25">
      <c r="S210" s="315"/>
    </row>
    <row r="211" spans="19:19" x14ac:dyDescent="0.25">
      <c r="S211" s="315"/>
    </row>
    <row r="212" spans="19:19" x14ac:dyDescent="0.25">
      <c r="S212" s="315"/>
    </row>
    <row r="213" spans="19:19" x14ac:dyDescent="0.25">
      <c r="S213" s="315"/>
    </row>
    <row r="214" spans="19:19" x14ac:dyDescent="0.25">
      <c r="S214" s="315"/>
    </row>
    <row r="215" spans="19:19" x14ac:dyDescent="0.25">
      <c r="S215" s="315"/>
    </row>
    <row r="216" spans="19:19" x14ac:dyDescent="0.25">
      <c r="S216" s="315"/>
    </row>
    <row r="217" spans="19:19" x14ac:dyDescent="0.25">
      <c r="S217" s="315"/>
    </row>
    <row r="218" spans="19:19" x14ac:dyDescent="0.25">
      <c r="S218" s="315"/>
    </row>
    <row r="219" spans="19:19" x14ac:dyDescent="0.25">
      <c r="S219" s="315"/>
    </row>
    <row r="220" spans="19:19" x14ac:dyDescent="0.25">
      <c r="S220" s="315"/>
    </row>
    <row r="221" spans="19:19" x14ac:dyDescent="0.25">
      <c r="S221" s="315"/>
    </row>
    <row r="222" spans="19:19" x14ac:dyDescent="0.25">
      <c r="S222" s="315"/>
    </row>
    <row r="223" spans="19:19" x14ac:dyDescent="0.25">
      <c r="S223" s="315"/>
    </row>
    <row r="224" spans="19:19" x14ac:dyDescent="0.25">
      <c r="S224" s="315"/>
    </row>
    <row r="225" spans="19:19" x14ac:dyDescent="0.25">
      <c r="S225" s="315"/>
    </row>
    <row r="226" spans="19:19" x14ac:dyDescent="0.25">
      <c r="S226" s="315"/>
    </row>
    <row r="227" spans="19:19" x14ac:dyDescent="0.25">
      <c r="S227" s="315"/>
    </row>
    <row r="228" spans="19:19" x14ac:dyDescent="0.25">
      <c r="S228" s="315"/>
    </row>
    <row r="229" spans="19:19" x14ac:dyDescent="0.25">
      <c r="S229" s="315"/>
    </row>
    <row r="230" spans="19:19" x14ac:dyDescent="0.25">
      <c r="S230" s="315"/>
    </row>
    <row r="231" spans="19:19" x14ac:dyDescent="0.25">
      <c r="S231" s="315"/>
    </row>
    <row r="232" spans="19:19" x14ac:dyDescent="0.25">
      <c r="S232" s="315"/>
    </row>
    <row r="233" spans="19:19" x14ac:dyDescent="0.25">
      <c r="S233" s="315"/>
    </row>
    <row r="234" spans="19:19" x14ac:dyDescent="0.25">
      <c r="S234" s="315"/>
    </row>
    <row r="235" spans="19:19" x14ac:dyDescent="0.25">
      <c r="S235" s="315"/>
    </row>
  </sheetData>
  <mergeCells count="1">
    <mergeCell ref="S3:S4"/>
  </mergeCells>
  <pageMargins left="0.39370078740157483" right="0.19685039370078741" top="0.55118110236220474" bottom="0.39370078740157483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91"/>
  <sheetViews>
    <sheetView showGridLines="0" zoomScaleNormal="100" workbookViewId="0">
      <selection activeCell="C10" sqref="C10"/>
    </sheetView>
  </sheetViews>
  <sheetFormatPr defaultColWidth="12.54296875" defaultRowHeight="12" customHeight="1" x14ac:dyDescent="0.25"/>
  <cols>
    <col min="1" max="1" width="9.54296875" style="10" customWidth="1"/>
    <col min="2" max="2" width="10" style="53" customWidth="1"/>
    <col min="3" max="6" width="9.7265625" style="53" customWidth="1"/>
    <col min="7" max="7" width="10.1796875" style="53" customWidth="1"/>
    <col min="8" max="8" width="9.7265625" style="53" customWidth="1"/>
    <col min="9" max="9" width="9.7265625" style="54" customWidth="1"/>
    <col min="10" max="11" width="9.7265625" style="53" hidden="1" customWidth="1"/>
    <col min="12" max="256" width="12.54296875" style="34"/>
    <col min="257" max="257" width="9.54296875" style="34" customWidth="1"/>
    <col min="258" max="258" width="10" style="34" customWidth="1"/>
    <col min="259" max="262" width="9.7265625" style="34" customWidth="1"/>
    <col min="263" max="263" width="10.1796875" style="34" customWidth="1"/>
    <col min="264" max="265" width="9.7265625" style="34" customWidth="1"/>
    <col min="266" max="267" width="0" style="34" hidden="1" customWidth="1"/>
    <col min="268" max="512" width="12.54296875" style="34"/>
    <col min="513" max="513" width="9.54296875" style="34" customWidth="1"/>
    <col min="514" max="514" width="10" style="34" customWidth="1"/>
    <col min="515" max="518" width="9.7265625" style="34" customWidth="1"/>
    <col min="519" max="519" width="10.1796875" style="34" customWidth="1"/>
    <col min="520" max="521" width="9.7265625" style="34" customWidth="1"/>
    <col min="522" max="523" width="0" style="34" hidden="1" customWidth="1"/>
    <col min="524" max="768" width="12.54296875" style="34"/>
    <col min="769" max="769" width="9.54296875" style="34" customWidth="1"/>
    <col min="770" max="770" width="10" style="34" customWidth="1"/>
    <col min="771" max="774" width="9.7265625" style="34" customWidth="1"/>
    <col min="775" max="775" width="10.1796875" style="34" customWidth="1"/>
    <col min="776" max="777" width="9.7265625" style="34" customWidth="1"/>
    <col min="778" max="779" width="0" style="34" hidden="1" customWidth="1"/>
    <col min="780" max="1024" width="12.54296875" style="34"/>
    <col min="1025" max="1025" width="9.54296875" style="34" customWidth="1"/>
    <col min="1026" max="1026" width="10" style="34" customWidth="1"/>
    <col min="1027" max="1030" width="9.7265625" style="34" customWidth="1"/>
    <col min="1031" max="1031" width="10.1796875" style="34" customWidth="1"/>
    <col min="1032" max="1033" width="9.7265625" style="34" customWidth="1"/>
    <col min="1034" max="1035" width="0" style="34" hidden="1" customWidth="1"/>
    <col min="1036" max="1280" width="12.54296875" style="34"/>
    <col min="1281" max="1281" width="9.54296875" style="34" customWidth="1"/>
    <col min="1282" max="1282" width="10" style="34" customWidth="1"/>
    <col min="1283" max="1286" width="9.7265625" style="34" customWidth="1"/>
    <col min="1287" max="1287" width="10.1796875" style="34" customWidth="1"/>
    <col min="1288" max="1289" width="9.7265625" style="34" customWidth="1"/>
    <col min="1290" max="1291" width="0" style="34" hidden="1" customWidth="1"/>
    <col min="1292" max="1536" width="12.54296875" style="34"/>
    <col min="1537" max="1537" width="9.54296875" style="34" customWidth="1"/>
    <col min="1538" max="1538" width="10" style="34" customWidth="1"/>
    <col min="1539" max="1542" width="9.7265625" style="34" customWidth="1"/>
    <col min="1543" max="1543" width="10.1796875" style="34" customWidth="1"/>
    <col min="1544" max="1545" width="9.7265625" style="34" customWidth="1"/>
    <col min="1546" max="1547" width="0" style="34" hidden="1" customWidth="1"/>
    <col min="1548" max="1792" width="12.54296875" style="34"/>
    <col min="1793" max="1793" width="9.54296875" style="34" customWidth="1"/>
    <col min="1794" max="1794" width="10" style="34" customWidth="1"/>
    <col min="1795" max="1798" width="9.7265625" style="34" customWidth="1"/>
    <col min="1799" max="1799" width="10.1796875" style="34" customWidth="1"/>
    <col min="1800" max="1801" width="9.7265625" style="34" customWidth="1"/>
    <col min="1802" max="1803" width="0" style="34" hidden="1" customWidth="1"/>
    <col min="1804" max="2048" width="12.54296875" style="34"/>
    <col min="2049" max="2049" width="9.54296875" style="34" customWidth="1"/>
    <col min="2050" max="2050" width="10" style="34" customWidth="1"/>
    <col min="2051" max="2054" width="9.7265625" style="34" customWidth="1"/>
    <col min="2055" max="2055" width="10.1796875" style="34" customWidth="1"/>
    <col min="2056" max="2057" width="9.7265625" style="34" customWidth="1"/>
    <col min="2058" max="2059" width="0" style="34" hidden="1" customWidth="1"/>
    <col min="2060" max="2304" width="12.54296875" style="34"/>
    <col min="2305" max="2305" width="9.54296875" style="34" customWidth="1"/>
    <col min="2306" max="2306" width="10" style="34" customWidth="1"/>
    <col min="2307" max="2310" width="9.7265625" style="34" customWidth="1"/>
    <col min="2311" max="2311" width="10.1796875" style="34" customWidth="1"/>
    <col min="2312" max="2313" width="9.7265625" style="34" customWidth="1"/>
    <col min="2314" max="2315" width="0" style="34" hidden="1" customWidth="1"/>
    <col min="2316" max="2560" width="12.54296875" style="34"/>
    <col min="2561" max="2561" width="9.54296875" style="34" customWidth="1"/>
    <col min="2562" max="2562" width="10" style="34" customWidth="1"/>
    <col min="2563" max="2566" width="9.7265625" style="34" customWidth="1"/>
    <col min="2567" max="2567" width="10.1796875" style="34" customWidth="1"/>
    <col min="2568" max="2569" width="9.7265625" style="34" customWidth="1"/>
    <col min="2570" max="2571" width="0" style="34" hidden="1" customWidth="1"/>
    <col min="2572" max="2816" width="12.54296875" style="34"/>
    <col min="2817" max="2817" width="9.54296875" style="34" customWidth="1"/>
    <col min="2818" max="2818" width="10" style="34" customWidth="1"/>
    <col min="2819" max="2822" width="9.7265625" style="34" customWidth="1"/>
    <col min="2823" max="2823" width="10.1796875" style="34" customWidth="1"/>
    <col min="2824" max="2825" width="9.7265625" style="34" customWidth="1"/>
    <col min="2826" max="2827" width="0" style="34" hidden="1" customWidth="1"/>
    <col min="2828" max="3072" width="12.54296875" style="34"/>
    <col min="3073" max="3073" width="9.54296875" style="34" customWidth="1"/>
    <col min="3074" max="3074" width="10" style="34" customWidth="1"/>
    <col min="3075" max="3078" width="9.7265625" style="34" customWidth="1"/>
    <col min="3079" max="3079" width="10.1796875" style="34" customWidth="1"/>
    <col min="3080" max="3081" width="9.7265625" style="34" customWidth="1"/>
    <col min="3082" max="3083" width="0" style="34" hidden="1" customWidth="1"/>
    <col min="3084" max="3328" width="12.54296875" style="34"/>
    <col min="3329" max="3329" width="9.54296875" style="34" customWidth="1"/>
    <col min="3330" max="3330" width="10" style="34" customWidth="1"/>
    <col min="3331" max="3334" width="9.7265625" style="34" customWidth="1"/>
    <col min="3335" max="3335" width="10.1796875" style="34" customWidth="1"/>
    <col min="3336" max="3337" width="9.7265625" style="34" customWidth="1"/>
    <col min="3338" max="3339" width="0" style="34" hidden="1" customWidth="1"/>
    <col min="3340" max="3584" width="12.54296875" style="34"/>
    <col min="3585" max="3585" width="9.54296875" style="34" customWidth="1"/>
    <col min="3586" max="3586" width="10" style="34" customWidth="1"/>
    <col min="3587" max="3590" width="9.7265625" style="34" customWidth="1"/>
    <col min="3591" max="3591" width="10.1796875" style="34" customWidth="1"/>
    <col min="3592" max="3593" width="9.7265625" style="34" customWidth="1"/>
    <col min="3594" max="3595" width="0" style="34" hidden="1" customWidth="1"/>
    <col min="3596" max="3840" width="12.54296875" style="34"/>
    <col min="3841" max="3841" width="9.54296875" style="34" customWidth="1"/>
    <col min="3842" max="3842" width="10" style="34" customWidth="1"/>
    <col min="3843" max="3846" width="9.7265625" style="34" customWidth="1"/>
    <col min="3847" max="3847" width="10.1796875" style="34" customWidth="1"/>
    <col min="3848" max="3849" width="9.7265625" style="34" customWidth="1"/>
    <col min="3850" max="3851" width="0" style="34" hidden="1" customWidth="1"/>
    <col min="3852" max="4096" width="12.54296875" style="34"/>
    <col min="4097" max="4097" width="9.54296875" style="34" customWidth="1"/>
    <col min="4098" max="4098" width="10" style="34" customWidth="1"/>
    <col min="4099" max="4102" width="9.7265625" style="34" customWidth="1"/>
    <col min="4103" max="4103" width="10.1796875" style="34" customWidth="1"/>
    <col min="4104" max="4105" width="9.7265625" style="34" customWidth="1"/>
    <col min="4106" max="4107" width="0" style="34" hidden="1" customWidth="1"/>
    <col min="4108" max="4352" width="12.54296875" style="34"/>
    <col min="4353" max="4353" width="9.54296875" style="34" customWidth="1"/>
    <col min="4354" max="4354" width="10" style="34" customWidth="1"/>
    <col min="4355" max="4358" width="9.7265625" style="34" customWidth="1"/>
    <col min="4359" max="4359" width="10.1796875" style="34" customWidth="1"/>
    <col min="4360" max="4361" width="9.7265625" style="34" customWidth="1"/>
    <col min="4362" max="4363" width="0" style="34" hidden="1" customWidth="1"/>
    <col min="4364" max="4608" width="12.54296875" style="34"/>
    <col min="4609" max="4609" width="9.54296875" style="34" customWidth="1"/>
    <col min="4610" max="4610" width="10" style="34" customWidth="1"/>
    <col min="4611" max="4614" width="9.7265625" style="34" customWidth="1"/>
    <col min="4615" max="4615" width="10.1796875" style="34" customWidth="1"/>
    <col min="4616" max="4617" width="9.7265625" style="34" customWidth="1"/>
    <col min="4618" max="4619" width="0" style="34" hidden="1" customWidth="1"/>
    <col min="4620" max="4864" width="12.54296875" style="34"/>
    <col min="4865" max="4865" width="9.54296875" style="34" customWidth="1"/>
    <col min="4866" max="4866" width="10" style="34" customWidth="1"/>
    <col min="4867" max="4870" width="9.7265625" style="34" customWidth="1"/>
    <col min="4871" max="4871" width="10.1796875" style="34" customWidth="1"/>
    <col min="4872" max="4873" width="9.7265625" style="34" customWidth="1"/>
    <col min="4874" max="4875" width="0" style="34" hidden="1" customWidth="1"/>
    <col min="4876" max="5120" width="12.54296875" style="34"/>
    <col min="5121" max="5121" width="9.54296875" style="34" customWidth="1"/>
    <col min="5122" max="5122" width="10" style="34" customWidth="1"/>
    <col min="5123" max="5126" width="9.7265625" style="34" customWidth="1"/>
    <col min="5127" max="5127" width="10.1796875" style="34" customWidth="1"/>
    <col min="5128" max="5129" width="9.7265625" style="34" customWidth="1"/>
    <col min="5130" max="5131" width="0" style="34" hidden="1" customWidth="1"/>
    <col min="5132" max="5376" width="12.54296875" style="34"/>
    <col min="5377" max="5377" width="9.54296875" style="34" customWidth="1"/>
    <col min="5378" max="5378" width="10" style="34" customWidth="1"/>
    <col min="5379" max="5382" width="9.7265625" style="34" customWidth="1"/>
    <col min="5383" max="5383" width="10.1796875" style="34" customWidth="1"/>
    <col min="5384" max="5385" width="9.7265625" style="34" customWidth="1"/>
    <col min="5386" max="5387" width="0" style="34" hidden="1" customWidth="1"/>
    <col min="5388" max="5632" width="12.54296875" style="34"/>
    <col min="5633" max="5633" width="9.54296875" style="34" customWidth="1"/>
    <col min="5634" max="5634" width="10" style="34" customWidth="1"/>
    <col min="5635" max="5638" width="9.7265625" style="34" customWidth="1"/>
    <col min="5639" max="5639" width="10.1796875" style="34" customWidth="1"/>
    <col min="5640" max="5641" width="9.7265625" style="34" customWidth="1"/>
    <col min="5642" max="5643" width="0" style="34" hidden="1" customWidth="1"/>
    <col min="5644" max="5888" width="12.54296875" style="34"/>
    <col min="5889" max="5889" width="9.54296875" style="34" customWidth="1"/>
    <col min="5890" max="5890" width="10" style="34" customWidth="1"/>
    <col min="5891" max="5894" width="9.7265625" style="34" customWidth="1"/>
    <col min="5895" max="5895" width="10.1796875" style="34" customWidth="1"/>
    <col min="5896" max="5897" width="9.7265625" style="34" customWidth="1"/>
    <col min="5898" max="5899" width="0" style="34" hidden="1" customWidth="1"/>
    <col min="5900" max="6144" width="12.54296875" style="34"/>
    <col min="6145" max="6145" width="9.54296875" style="34" customWidth="1"/>
    <col min="6146" max="6146" width="10" style="34" customWidth="1"/>
    <col min="6147" max="6150" width="9.7265625" style="34" customWidth="1"/>
    <col min="6151" max="6151" width="10.1796875" style="34" customWidth="1"/>
    <col min="6152" max="6153" width="9.7265625" style="34" customWidth="1"/>
    <col min="6154" max="6155" width="0" style="34" hidden="1" customWidth="1"/>
    <col min="6156" max="6400" width="12.54296875" style="34"/>
    <col min="6401" max="6401" width="9.54296875" style="34" customWidth="1"/>
    <col min="6402" max="6402" width="10" style="34" customWidth="1"/>
    <col min="6403" max="6406" width="9.7265625" style="34" customWidth="1"/>
    <col min="6407" max="6407" width="10.1796875" style="34" customWidth="1"/>
    <col min="6408" max="6409" width="9.7265625" style="34" customWidth="1"/>
    <col min="6410" max="6411" width="0" style="34" hidden="1" customWidth="1"/>
    <col min="6412" max="6656" width="12.54296875" style="34"/>
    <col min="6657" max="6657" width="9.54296875" style="34" customWidth="1"/>
    <col min="6658" max="6658" width="10" style="34" customWidth="1"/>
    <col min="6659" max="6662" width="9.7265625" style="34" customWidth="1"/>
    <col min="6663" max="6663" width="10.1796875" style="34" customWidth="1"/>
    <col min="6664" max="6665" width="9.7265625" style="34" customWidth="1"/>
    <col min="6666" max="6667" width="0" style="34" hidden="1" customWidth="1"/>
    <col min="6668" max="6912" width="12.54296875" style="34"/>
    <col min="6913" max="6913" width="9.54296875" style="34" customWidth="1"/>
    <col min="6914" max="6914" width="10" style="34" customWidth="1"/>
    <col min="6915" max="6918" width="9.7265625" style="34" customWidth="1"/>
    <col min="6919" max="6919" width="10.1796875" style="34" customWidth="1"/>
    <col min="6920" max="6921" width="9.7265625" style="34" customWidth="1"/>
    <col min="6922" max="6923" width="0" style="34" hidden="1" customWidth="1"/>
    <col min="6924" max="7168" width="12.54296875" style="34"/>
    <col min="7169" max="7169" width="9.54296875" style="34" customWidth="1"/>
    <col min="7170" max="7170" width="10" style="34" customWidth="1"/>
    <col min="7171" max="7174" width="9.7265625" style="34" customWidth="1"/>
    <col min="7175" max="7175" width="10.1796875" style="34" customWidth="1"/>
    <col min="7176" max="7177" width="9.7265625" style="34" customWidth="1"/>
    <col min="7178" max="7179" width="0" style="34" hidden="1" customWidth="1"/>
    <col min="7180" max="7424" width="12.54296875" style="34"/>
    <col min="7425" max="7425" width="9.54296875" style="34" customWidth="1"/>
    <col min="7426" max="7426" width="10" style="34" customWidth="1"/>
    <col min="7427" max="7430" width="9.7265625" style="34" customWidth="1"/>
    <col min="7431" max="7431" width="10.1796875" style="34" customWidth="1"/>
    <col min="7432" max="7433" width="9.7265625" style="34" customWidth="1"/>
    <col min="7434" max="7435" width="0" style="34" hidden="1" customWidth="1"/>
    <col min="7436" max="7680" width="12.54296875" style="34"/>
    <col min="7681" max="7681" width="9.54296875" style="34" customWidth="1"/>
    <col min="7682" max="7682" width="10" style="34" customWidth="1"/>
    <col min="7683" max="7686" width="9.7265625" style="34" customWidth="1"/>
    <col min="7687" max="7687" width="10.1796875" style="34" customWidth="1"/>
    <col min="7688" max="7689" width="9.7265625" style="34" customWidth="1"/>
    <col min="7690" max="7691" width="0" style="34" hidden="1" customWidth="1"/>
    <col min="7692" max="7936" width="12.54296875" style="34"/>
    <col min="7937" max="7937" width="9.54296875" style="34" customWidth="1"/>
    <col min="7938" max="7938" width="10" style="34" customWidth="1"/>
    <col min="7939" max="7942" width="9.7265625" style="34" customWidth="1"/>
    <col min="7943" max="7943" width="10.1796875" style="34" customWidth="1"/>
    <col min="7944" max="7945" width="9.7265625" style="34" customWidth="1"/>
    <col min="7946" max="7947" width="0" style="34" hidden="1" customWidth="1"/>
    <col min="7948" max="8192" width="12.54296875" style="34"/>
    <col min="8193" max="8193" width="9.54296875" style="34" customWidth="1"/>
    <col min="8194" max="8194" width="10" style="34" customWidth="1"/>
    <col min="8195" max="8198" width="9.7265625" style="34" customWidth="1"/>
    <col min="8199" max="8199" width="10.1796875" style="34" customWidth="1"/>
    <col min="8200" max="8201" width="9.7265625" style="34" customWidth="1"/>
    <col min="8202" max="8203" width="0" style="34" hidden="1" customWidth="1"/>
    <col min="8204" max="8448" width="12.54296875" style="34"/>
    <col min="8449" max="8449" width="9.54296875" style="34" customWidth="1"/>
    <col min="8450" max="8450" width="10" style="34" customWidth="1"/>
    <col min="8451" max="8454" width="9.7265625" style="34" customWidth="1"/>
    <col min="8455" max="8455" width="10.1796875" style="34" customWidth="1"/>
    <col min="8456" max="8457" width="9.7265625" style="34" customWidth="1"/>
    <col min="8458" max="8459" width="0" style="34" hidden="1" customWidth="1"/>
    <col min="8460" max="8704" width="12.54296875" style="34"/>
    <col min="8705" max="8705" width="9.54296875" style="34" customWidth="1"/>
    <col min="8706" max="8706" width="10" style="34" customWidth="1"/>
    <col min="8707" max="8710" width="9.7265625" style="34" customWidth="1"/>
    <col min="8711" max="8711" width="10.1796875" style="34" customWidth="1"/>
    <col min="8712" max="8713" width="9.7265625" style="34" customWidth="1"/>
    <col min="8714" max="8715" width="0" style="34" hidden="1" customWidth="1"/>
    <col min="8716" max="8960" width="12.54296875" style="34"/>
    <col min="8961" max="8961" width="9.54296875" style="34" customWidth="1"/>
    <col min="8962" max="8962" width="10" style="34" customWidth="1"/>
    <col min="8963" max="8966" width="9.7265625" style="34" customWidth="1"/>
    <col min="8967" max="8967" width="10.1796875" style="34" customWidth="1"/>
    <col min="8968" max="8969" width="9.7265625" style="34" customWidth="1"/>
    <col min="8970" max="8971" width="0" style="34" hidden="1" customWidth="1"/>
    <col min="8972" max="9216" width="12.54296875" style="34"/>
    <col min="9217" max="9217" width="9.54296875" style="34" customWidth="1"/>
    <col min="9218" max="9218" width="10" style="34" customWidth="1"/>
    <col min="9219" max="9222" width="9.7265625" style="34" customWidth="1"/>
    <col min="9223" max="9223" width="10.1796875" style="34" customWidth="1"/>
    <col min="9224" max="9225" width="9.7265625" style="34" customWidth="1"/>
    <col min="9226" max="9227" width="0" style="34" hidden="1" customWidth="1"/>
    <col min="9228" max="9472" width="12.54296875" style="34"/>
    <col min="9473" max="9473" width="9.54296875" style="34" customWidth="1"/>
    <col min="9474" max="9474" width="10" style="34" customWidth="1"/>
    <col min="9475" max="9478" width="9.7265625" style="34" customWidth="1"/>
    <col min="9479" max="9479" width="10.1796875" style="34" customWidth="1"/>
    <col min="9480" max="9481" width="9.7265625" style="34" customWidth="1"/>
    <col min="9482" max="9483" width="0" style="34" hidden="1" customWidth="1"/>
    <col min="9484" max="9728" width="12.54296875" style="34"/>
    <col min="9729" max="9729" width="9.54296875" style="34" customWidth="1"/>
    <col min="9730" max="9730" width="10" style="34" customWidth="1"/>
    <col min="9731" max="9734" width="9.7265625" style="34" customWidth="1"/>
    <col min="9735" max="9735" width="10.1796875" style="34" customWidth="1"/>
    <col min="9736" max="9737" width="9.7265625" style="34" customWidth="1"/>
    <col min="9738" max="9739" width="0" style="34" hidden="1" customWidth="1"/>
    <col min="9740" max="9984" width="12.54296875" style="34"/>
    <col min="9985" max="9985" width="9.54296875" style="34" customWidth="1"/>
    <col min="9986" max="9986" width="10" style="34" customWidth="1"/>
    <col min="9987" max="9990" width="9.7265625" style="34" customWidth="1"/>
    <col min="9991" max="9991" width="10.1796875" style="34" customWidth="1"/>
    <col min="9992" max="9993" width="9.7265625" style="34" customWidth="1"/>
    <col min="9994" max="9995" width="0" style="34" hidden="1" customWidth="1"/>
    <col min="9996" max="10240" width="12.54296875" style="34"/>
    <col min="10241" max="10241" width="9.54296875" style="34" customWidth="1"/>
    <col min="10242" max="10242" width="10" style="34" customWidth="1"/>
    <col min="10243" max="10246" width="9.7265625" style="34" customWidth="1"/>
    <col min="10247" max="10247" width="10.1796875" style="34" customWidth="1"/>
    <col min="10248" max="10249" width="9.7265625" style="34" customWidth="1"/>
    <col min="10250" max="10251" width="0" style="34" hidden="1" customWidth="1"/>
    <col min="10252" max="10496" width="12.54296875" style="34"/>
    <col min="10497" max="10497" width="9.54296875" style="34" customWidth="1"/>
    <col min="10498" max="10498" width="10" style="34" customWidth="1"/>
    <col min="10499" max="10502" width="9.7265625" style="34" customWidth="1"/>
    <col min="10503" max="10503" width="10.1796875" style="34" customWidth="1"/>
    <col min="10504" max="10505" width="9.7265625" style="34" customWidth="1"/>
    <col min="10506" max="10507" width="0" style="34" hidden="1" customWidth="1"/>
    <col min="10508" max="10752" width="12.54296875" style="34"/>
    <col min="10753" max="10753" width="9.54296875" style="34" customWidth="1"/>
    <col min="10754" max="10754" width="10" style="34" customWidth="1"/>
    <col min="10755" max="10758" width="9.7265625" style="34" customWidth="1"/>
    <col min="10759" max="10759" width="10.1796875" style="34" customWidth="1"/>
    <col min="10760" max="10761" width="9.7265625" style="34" customWidth="1"/>
    <col min="10762" max="10763" width="0" style="34" hidden="1" customWidth="1"/>
    <col min="10764" max="11008" width="12.54296875" style="34"/>
    <col min="11009" max="11009" width="9.54296875" style="34" customWidth="1"/>
    <col min="11010" max="11010" width="10" style="34" customWidth="1"/>
    <col min="11011" max="11014" width="9.7265625" style="34" customWidth="1"/>
    <col min="11015" max="11015" width="10.1796875" style="34" customWidth="1"/>
    <col min="11016" max="11017" width="9.7265625" style="34" customWidth="1"/>
    <col min="11018" max="11019" width="0" style="34" hidden="1" customWidth="1"/>
    <col min="11020" max="11264" width="12.54296875" style="34"/>
    <col min="11265" max="11265" width="9.54296875" style="34" customWidth="1"/>
    <col min="11266" max="11266" width="10" style="34" customWidth="1"/>
    <col min="11267" max="11270" width="9.7265625" style="34" customWidth="1"/>
    <col min="11271" max="11271" width="10.1796875" style="34" customWidth="1"/>
    <col min="11272" max="11273" width="9.7265625" style="34" customWidth="1"/>
    <col min="11274" max="11275" width="0" style="34" hidden="1" customWidth="1"/>
    <col min="11276" max="11520" width="12.54296875" style="34"/>
    <col min="11521" max="11521" width="9.54296875" style="34" customWidth="1"/>
    <col min="11522" max="11522" width="10" style="34" customWidth="1"/>
    <col min="11523" max="11526" width="9.7265625" style="34" customWidth="1"/>
    <col min="11527" max="11527" width="10.1796875" style="34" customWidth="1"/>
    <col min="11528" max="11529" width="9.7265625" style="34" customWidth="1"/>
    <col min="11530" max="11531" width="0" style="34" hidden="1" customWidth="1"/>
    <col min="11532" max="11776" width="12.54296875" style="34"/>
    <col min="11777" max="11777" width="9.54296875" style="34" customWidth="1"/>
    <col min="11778" max="11778" width="10" style="34" customWidth="1"/>
    <col min="11779" max="11782" width="9.7265625" style="34" customWidth="1"/>
    <col min="11783" max="11783" width="10.1796875" style="34" customWidth="1"/>
    <col min="11784" max="11785" width="9.7265625" style="34" customWidth="1"/>
    <col min="11786" max="11787" width="0" style="34" hidden="1" customWidth="1"/>
    <col min="11788" max="12032" width="12.54296875" style="34"/>
    <col min="12033" max="12033" width="9.54296875" style="34" customWidth="1"/>
    <col min="12034" max="12034" width="10" style="34" customWidth="1"/>
    <col min="12035" max="12038" width="9.7265625" style="34" customWidth="1"/>
    <col min="12039" max="12039" width="10.1796875" style="34" customWidth="1"/>
    <col min="12040" max="12041" width="9.7265625" style="34" customWidth="1"/>
    <col min="12042" max="12043" width="0" style="34" hidden="1" customWidth="1"/>
    <col min="12044" max="12288" width="12.54296875" style="34"/>
    <col min="12289" max="12289" width="9.54296875" style="34" customWidth="1"/>
    <col min="12290" max="12290" width="10" style="34" customWidth="1"/>
    <col min="12291" max="12294" width="9.7265625" style="34" customWidth="1"/>
    <col min="12295" max="12295" width="10.1796875" style="34" customWidth="1"/>
    <col min="12296" max="12297" width="9.7265625" style="34" customWidth="1"/>
    <col min="12298" max="12299" width="0" style="34" hidden="1" customWidth="1"/>
    <col min="12300" max="12544" width="12.54296875" style="34"/>
    <col min="12545" max="12545" width="9.54296875" style="34" customWidth="1"/>
    <col min="12546" max="12546" width="10" style="34" customWidth="1"/>
    <col min="12547" max="12550" width="9.7265625" style="34" customWidth="1"/>
    <col min="12551" max="12551" width="10.1796875" style="34" customWidth="1"/>
    <col min="12552" max="12553" width="9.7265625" style="34" customWidth="1"/>
    <col min="12554" max="12555" width="0" style="34" hidden="1" customWidth="1"/>
    <col min="12556" max="12800" width="12.54296875" style="34"/>
    <col min="12801" max="12801" width="9.54296875" style="34" customWidth="1"/>
    <col min="12802" max="12802" width="10" style="34" customWidth="1"/>
    <col min="12803" max="12806" width="9.7265625" style="34" customWidth="1"/>
    <col min="12807" max="12807" width="10.1796875" style="34" customWidth="1"/>
    <col min="12808" max="12809" width="9.7265625" style="34" customWidth="1"/>
    <col min="12810" max="12811" width="0" style="34" hidden="1" customWidth="1"/>
    <col min="12812" max="13056" width="12.54296875" style="34"/>
    <col min="13057" max="13057" width="9.54296875" style="34" customWidth="1"/>
    <col min="13058" max="13058" width="10" style="34" customWidth="1"/>
    <col min="13059" max="13062" width="9.7265625" style="34" customWidth="1"/>
    <col min="13063" max="13063" width="10.1796875" style="34" customWidth="1"/>
    <col min="13064" max="13065" width="9.7265625" style="34" customWidth="1"/>
    <col min="13066" max="13067" width="0" style="34" hidden="1" customWidth="1"/>
    <col min="13068" max="13312" width="12.54296875" style="34"/>
    <col min="13313" max="13313" width="9.54296875" style="34" customWidth="1"/>
    <col min="13314" max="13314" width="10" style="34" customWidth="1"/>
    <col min="13315" max="13318" width="9.7265625" style="34" customWidth="1"/>
    <col min="13319" max="13319" width="10.1796875" style="34" customWidth="1"/>
    <col min="13320" max="13321" width="9.7265625" style="34" customWidth="1"/>
    <col min="13322" max="13323" width="0" style="34" hidden="1" customWidth="1"/>
    <col min="13324" max="13568" width="12.54296875" style="34"/>
    <col min="13569" max="13569" width="9.54296875" style="34" customWidth="1"/>
    <col min="13570" max="13570" width="10" style="34" customWidth="1"/>
    <col min="13571" max="13574" width="9.7265625" style="34" customWidth="1"/>
    <col min="13575" max="13575" width="10.1796875" style="34" customWidth="1"/>
    <col min="13576" max="13577" width="9.7265625" style="34" customWidth="1"/>
    <col min="13578" max="13579" width="0" style="34" hidden="1" customWidth="1"/>
    <col min="13580" max="13824" width="12.54296875" style="34"/>
    <col min="13825" max="13825" width="9.54296875" style="34" customWidth="1"/>
    <col min="13826" max="13826" width="10" style="34" customWidth="1"/>
    <col min="13827" max="13830" width="9.7265625" style="34" customWidth="1"/>
    <col min="13831" max="13831" width="10.1796875" style="34" customWidth="1"/>
    <col min="13832" max="13833" width="9.7265625" style="34" customWidth="1"/>
    <col min="13834" max="13835" width="0" style="34" hidden="1" customWidth="1"/>
    <col min="13836" max="14080" width="12.54296875" style="34"/>
    <col min="14081" max="14081" width="9.54296875" style="34" customWidth="1"/>
    <col min="14082" max="14082" width="10" style="34" customWidth="1"/>
    <col min="14083" max="14086" width="9.7265625" style="34" customWidth="1"/>
    <col min="14087" max="14087" width="10.1796875" style="34" customWidth="1"/>
    <col min="14088" max="14089" width="9.7265625" style="34" customWidth="1"/>
    <col min="14090" max="14091" width="0" style="34" hidden="1" customWidth="1"/>
    <col min="14092" max="14336" width="12.54296875" style="34"/>
    <col min="14337" max="14337" width="9.54296875" style="34" customWidth="1"/>
    <col min="14338" max="14338" width="10" style="34" customWidth="1"/>
    <col min="14339" max="14342" width="9.7265625" style="34" customWidth="1"/>
    <col min="14343" max="14343" width="10.1796875" style="34" customWidth="1"/>
    <col min="14344" max="14345" width="9.7265625" style="34" customWidth="1"/>
    <col min="14346" max="14347" width="0" style="34" hidden="1" customWidth="1"/>
    <col min="14348" max="14592" width="12.54296875" style="34"/>
    <col min="14593" max="14593" width="9.54296875" style="34" customWidth="1"/>
    <col min="14594" max="14594" width="10" style="34" customWidth="1"/>
    <col min="14595" max="14598" width="9.7265625" style="34" customWidth="1"/>
    <col min="14599" max="14599" width="10.1796875" style="34" customWidth="1"/>
    <col min="14600" max="14601" width="9.7265625" style="34" customWidth="1"/>
    <col min="14602" max="14603" width="0" style="34" hidden="1" customWidth="1"/>
    <col min="14604" max="14848" width="12.54296875" style="34"/>
    <col min="14849" max="14849" width="9.54296875" style="34" customWidth="1"/>
    <col min="14850" max="14850" width="10" style="34" customWidth="1"/>
    <col min="14851" max="14854" width="9.7265625" style="34" customWidth="1"/>
    <col min="14855" max="14855" width="10.1796875" style="34" customWidth="1"/>
    <col min="14856" max="14857" width="9.7265625" style="34" customWidth="1"/>
    <col min="14858" max="14859" width="0" style="34" hidden="1" customWidth="1"/>
    <col min="14860" max="15104" width="12.54296875" style="34"/>
    <col min="15105" max="15105" width="9.54296875" style="34" customWidth="1"/>
    <col min="15106" max="15106" width="10" style="34" customWidth="1"/>
    <col min="15107" max="15110" width="9.7265625" style="34" customWidth="1"/>
    <col min="15111" max="15111" width="10.1796875" style="34" customWidth="1"/>
    <col min="15112" max="15113" width="9.7265625" style="34" customWidth="1"/>
    <col min="15114" max="15115" width="0" style="34" hidden="1" customWidth="1"/>
    <col min="15116" max="15360" width="12.54296875" style="34"/>
    <col min="15361" max="15361" width="9.54296875" style="34" customWidth="1"/>
    <col min="15362" max="15362" width="10" style="34" customWidth="1"/>
    <col min="15363" max="15366" width="9.7265625" style="34" customWidth="1"/>
    <col min="15367" max="15367" width="10.1796875" style="34" customWidth="1"/>
    <col min="15368" max="15369" width="9.7265625" style="34" customWidth="1"/>
    <col min="15370" max="15371" width="0" style="34" hidden="1" customWidth="1"/>
    <col min="15372" max="15616" width="12.54296875" style="34"/>
    <col min="15617" max="15617" width="9.54296875" style="34" customWidth="1"/>
    <col min="15618" max="15618" width="10" style="34" customWidth="1"/>
    <col min="15619" max="15622" width="9.7265625" style="34" customWidth="1"/>
    <col min="15623" max="15623" width="10.1796875" style="34" customWidth="1"/>
    <col min="15624" max="15625" width="9.7265625" style="34" customWidth="1"/>
    <col min="15626" max="15627" width="0" style="34" hidden="1" customWidth="1"/>
    <col min="15628" max="15872" width="12.54296875" style="34"/>
    <col min="15873" max="15873" width="9.54296875" style="34" customWidth="1"/>
    <col min="15874" max="15874" width="10" style="34" customWidth="1"/>
    <col min="15875" max="15878" width="9.7265625" style="34" customWidth="1"/>
    <col min="15879" max="15879" width="10.1796875" style="34" customWidth="1"/>
    <col min="15880" max="15881" width="9.7265625" style="34" customWidth="1"/>
    <col min="15882" max="15883" width="0" style="34" hidden="1" customWidth="1"/>
    <col min="15884" max="16128" width="12.54296875" style="34"/>
    <col min="16129" max="16129" width="9.54296875" style="34" customWidth="1"/>
    <col min="16130" max="16130" width="10" style="34" customWidth="1"/>
    <col min="16131" max="16134" width="9.7265625" style="34" customWidth="1"/>
    <col min="16135" max="16135" width="10.1796875" style="34" customWidth="1"/>
    <col min="16136" max="16137" width="9.7265625" style="34" customWidth="1"/>
    <col min="16138" max="16139" width="0" style="34" hidden="1" customWidth="1"/>
    <col min="16140" max="16384" width="12.54296875" style="34"/>
  </cols>
  <sheetData>
    <row r="1" spans="1:11" s="4" customFormat="1" ht="14" x14ac:dyDescent="0.3">
      <c r="A1" s="6" t="s">
        <v>33</v>
      </c>
      <c r="B1" s="7"/>
      <c r="C1" s="8"/>
      <c r="D1" s="8"/>
      <c r="E1" s="8"/>
      <c r="F1" s="8"/>
      <c r="G1" s="8"/>
      <c r="H1" s="8"/>
      <c r="I1" s="9"/>
      <c r="J1" s="8"/>
      <c r="K1" s="8"/>
    </row>
    <row r="2" spans="1:11" s="10" customFormat="1" ht="11.5" x14ac:dyDescent="0.25">
      <c r="B2" s="11"/>
      <c r="C2" s="12"/>
      <c r="D2" s="12"/>
      <c r="E2" s="12"/>
      <c r="F2" s="12"/>
      <c r="G2" s="12"/>
      <c r="H2" s="12"/>
      <c r="I2" s="13"/>
      <c r="J2" s="12"/>
      <c r="K2" s="12"/>
    </row>
    <row r="3" spans="1:11" s="10" customFormat="1" ht="12.75" customHeight="1" x14ac:dyDescent="0.25">
      <c r="A3" s="14" t="s">
        <v>34</v>
      </c>
      <c r="B3" s="15"/>
      <c r="C3" s="16"/>
      <c r="D3" s="16"/>
      <c r="E3" s="16"/>
      <c r="F3" s="16"/>
      <c r="G3" s="16"/>
      <c r="H3" s="16"/>
      <c r="I3" s="17"/>
      <c r="J3" s="16"/>
      <c r="K3" s="16"/>
    </row>
    <row r="4" spans="1:11" s="10" customFormat="1" ht="12" customHeight="1" x14ac:dyDescent="0.25">
      <c r="A4" s="18"/>
      <c r="B4" s="19"/>
      <c r="C4" s="20"/>
      <c r="D4" s="20"/>
      <c r="E4" s="20"/>
      <c r="F4" s="20"/>
      <c r="G4" s="20" t="s">
        <v>35</v>
      </c>
      <c r="H4" s="20" t="s">
        <v>35</v>
      </c>
      <c r="I4" s="20" t="s">
        <v>36</v>
      </c>
      <c r="J4" s="21" t="s">
        <v>37</v>
      </c>
      <c r="K4" s="21" t="s">
        <v>38</v>
      </c>
    </row>
    <row r="5" spans="1:11" s="10" customFormat="1" ht="12" customHeight="1" x14ac:dyDescent="0.25">
      <c r="A5" s="22"/>
      <c r="B5" s="23" t="s">
        <v>39</v>
      </c>
      <c r="C5" s="24" t="s">
        <v>40</v>
      </c>
      <c r="D5" s="25" t="s">
        <v>41</v>
      </c>
      <c r="E5" s="25" t="s">
        <v>42</v>
      </c>
      <c r="F5" s="25" t="s">
        <v>43</v>
      </c>
      <c r="G5" s="25" t="s">
        <v>44</v>
      </c>
      <c r="H5" s="25" t="s">
        <v>45</v>
      </c>
      <c r="I5" s="25" t="s">
        <v>45</v>
      </c>
      <c r="J5" s="26" t="s">
        <v>46</v>
      </c>
      <c r="K5" s="26" t="s">
        <v>46</v>
      </c>
    </row>
    <row r="6" spans="1:11" s="10" customFormat="1" ht="11.5" x14ac:dyDescent="0.25">
      <c r="A6" s="27"/>
      <c r="B6" s="28"/>
      <c r="C6" s="29"/>
      <c r="D6" s="30"/>
      <c r="E6" s="30"/>
      <c r="F6" s="30"/>
      <c r="G6" s="30"/>
      <c r="H6" s="30"/>
      <c r="I6" s="30"/>
      <c r="J6" s="30"/>
      <c r="K6" s="30"/>
    </row>
    <row r="7" spans="1:11" ht="11.5" hidden="1" x14ac:dyDescent="0.25">
      <c r="A7" s="31">
        <v>1986</v>
      </c>
      <c r="B7" s="32">
        <v>74506</v>
      </c>
      <c r="C7" s="32">
        <v>5282</v>
      </c>
      <c r="D7" s="32">
        <v>2226</v>
      </c>
      <c r="E7" s="32"/>
      <c r="F7" s="32"/>
      <c r="G7" s="33">
        <f t="shared" ref="G7:G20" si="0">SUM(B7:D7)</f>
        <v>82014</v>
      </c>
      <c r="H7" s="33"/>
      <c r="I7" s="33"/>
      <c r="J7" s="33"/>
      <c r="K7" s="33"/>
    </row>
    <row r="8" spans="1:11" ht="11.5" x14ac:dyDescent="0.25">
      <c r="A8" s="31">
        <v>1987</v>
      </c>
      <c r="B8" s="32">
        <v>77016</v>
      </c>
      <c r="C8" s="32">
        <v>5252</v>
      </c>
      <c r="D8" s="32">
        <v>2696</v>
      </c>
      <c r="E8" s="32"/>
      <c r="F8" s="32"/>
      <c r="G8" s="30">
        <f t="shared" si="0"/>
        <v>84964</v>
      </c>
      <c r="H8" s="33">
        <v>564820</v>
      </c>
      <c r="I8" s="35">
        <f t="shared" ref="I8:I38" si="1">G8/H8</f>
        <v>0.15042668460748557</v>
      </c>
      <c r="J8" s="33"/>
      <c r="K8" s="33"/>
    </row>
    <row r="9" spans="1:11" ht="11.5" x14ac:dyDescent="0.25">
      <c r="A9" s="36">
        <v>1988</v>
      </c>
      <c r="B9" s="37">
        <v>96263</v>
      </c>
      <c r="C9" s="37">
        <v>5285</v>
      </c>
      <c r="D9" s="37">
        <v>2701</v>
      </c>
      <c r="E9" s="37"/>
      <c r="F9" s="37"/>
      <c r="G9" s="38">
        <f t="shared" si="0"/>
        <v>104249</v>
      </c>
      <c r="H9" s="39">
        <v>638201</v>
      </c>
      <c r="I9" s="40">
        <f t="shared" si="1"/>
        <v>0.16334822414881833</v>
      </c>
      <c r="J9" s="35">
        <f t="shared" ref="J9:K25" si="2">(G9-G8)/G8</f>
        <v>0.22697848500541407</v>
      </c>
      <c r="K9" s="35">
        <f t="shared" si="2"/>
        <v>0.1299192663149322</v>
      </c>
    </row>
    <row r="10" spans="1:11" ht="11.5" x14ac:dyDescent="0.25">
      <c r="A10" s="31">
        <v>1989</v>
      </c>
      <c r="B10" s="32">
        <v>106129</v>
      </c>
      <c r="C10" s="32">
        <v>4302</v>
      </c>
      <c r="D10" s="32">
        <v>2336</v>
      </c>
      <c r="E10" s="32"/>
      <c r="F10" s="32"/>
      <c r="G10" s="30">
        <f t="shared" si="0"/>
        <v>112767</v>
      </c>
      <c r="H10" s="33">
        <v>699960</v>
      </c>
      <c r="I10" s="35">
        <f t="shared" si="1"/>
        <v>0.16110492028115891</v>
      </c>
      <c r="J10" s="35">
        <f t="shared" si="2"/>
        <v>8.1708217824631404E-2</v>
      </c>
      <c r="K10" s="35">
        <f t="shared" si="2"/>
        <v>9.677045319578001E-2</v>
      </c>
    </row>
    <row r="11" spans="1:11" ht="11.5" x14ac:dyDescent="0.25">
      <c r="A11" s="36">
        <v>1990</v>
      </c>
      <c r="B11" s="37">
        <v>117731</v>
      </c>
      <c r="C11" s="37">
        <v>3353</v>
      </c>
      <c r="D11" s="37">
        <v>1025</v>
      </c>
      <c r="E11" s="37"/>
      <c r="F11" s="37"/>
      <c r="G11" s="38">
        <f t="shared" si="0"/>
        <v>122109</v>
      </c>
      <c r="H11" s="39">
        <v>733506</v>
      </c>
      <c r="I11" s="40">
        <f t="shared" si="1"/>
        <v>0.16647307588485985</v>
      </c>
      <c r="J11" s="35">
        <f t="shared" si="2"/>
        <v>8.2843385032855363E-2</v>
      </c>
      <c r="K11" s="35">
        <f t="shared" si="2"/>
        <v>4.7925595748328477E-2</v>
      </c>
    </row>
    <row r="12" spans="1:11" ht="11.5" x14ac:dyDescent="0.25">
      <c r="A12" s="31">
        <v>1991</v>
      </c>
      <c r="B12" s="32">
        <v>123049</v>
      </c>
      <c r="C12" s="32">
        <v>2364</v>
      </c>
      <c r="D12" s="32">
        <v>975</v>
      </c>
      <c r="E12" s="32"/>
      <c r="F12" s="32"/>
      <c r="G12" s="30">
        <f t="shared" si="0"/>
        <v>126388</v>
      </c>
      <c r="H12" s="33">
        <v>799958</v>
      </c>
      <c r="I12" s="35">
        <f t="shared" si="1"/>
        <v>0.15799329464796902</v>
      </c>
      <c r="J12" s="35">
        <f t="shared" si="2"/>
        <v>3.5042462062583428E-2</v>
      </c>
      <c r="K12" s="35">
        <f t="shared" si="2"/>
        <v>9.0595032624136679E-2</v>
      </c>
    </row>
    <row r="13" spans="1:11" ht="11.5" x14ac:dyDescent="0.25">
      <c r="A13" s="36">
        <v>1992</v>
      </c>
      <c r="B13" s="37">
        <v>136081</v>
      </c>
      <c r="C13" s="37">
        <v>2348</v>
      </c>
      <c r="D13" s="37">
        <v>966</v>
      </c>
      <c r="E13" s="37"/>
      <c r="F13" s="37"/>
      <c r="G13" s="38">
        <f t="shared" si="0"/>
        <v>139395</v>
      </c>
      <c r="H13" s="39">
        <v>878262</v>
      </c>
      <c r="I13" s="40">
        <f t="shared" si="1"/>
        <v>0.15871687491887387</v>
      </c>
      <c r="J13" s="35">
        <f t="shared" si="2"/>
        <v>0.10291325125803083</v>
      </c>
      <c r="K13" s="35">
        <f t="shared" si="2"/>
        <v>9.7885138969795921E-2</v>
      </c>
    </row>
    <row r="14" spans="1:11" ht="11.5" x14ac:dyDescent="0.25">
      <c r="A14" s="31">
        <v>1993</v>
      </c>
      <c r="B14" s="32">
        <v>133542</v>
      </c>
      <c r="C14" s="32">
        <v>2150</v>
      </c>
      <c r="D14" s="32">
        <v>794</v>
      </c>
      <c r="E14" s="32"/>
      <c r="F14" s="32"/>
      <c r="G14" s="30">
        <f t="shared" si="0"/>
        <v>136486</v>
      </c>
      <c r="H14" s="33">
        <v>860499</v>
      </c>
      <c r="I14" s="35">
        <f t="shared" si="1"/>
        <v>0.15861261895713999</v>
      </c>
      <c r="J14" s="35">
        <f t="shared" si="2"/>
        <v>-2.0868754259478459E-2</v>
      </c>
      <c r="K14" s="35">
        <f t="shared" si="2"/>
        <v>-2.0225171987402393E-2</v>
      </c>
    </row>
    <row r="15" spans="1:11" ht="11.5" x14ac:dyDescent="0.25">
      <c r="A15" s="36">
        <v>1994</v>
      </c>
      <c r="B15" s="37">
        <v>142058</v>
      </c>
      <c r="C15" s="37">
        <v>2700</v>
      </c>
      <c r="D15" s="37">
        <v>1920</v>
      </c>
      <c r="E15" s="37"/>
      <c r="F15" s="37"/>
      <c r="G15" s="38">
        <f t="shared" si="0"/>
        <v>146678</v>
      </c>
      <c r="H15" s="39">
        <v>928227</v>
      </c>
      <c r="I15" s="40">
        <f t="shared" si="1"/>
        <v>0.15801953616949302</v>
      </c>
      <c r="J15" s="35">
        <f t="shared" si="2"/>
        <v>7.4674325571853523E-2</v>
      </c>
      <c r="K15" s="35">
        <f t="shared" si="2"/>
        <v>7.870781953262003E-2</v>
      </c>
    </row>
    <row r="16" spans="1:11" ht="11.5" x14ac:dyDescent="0.25">
      <c r="A16" s="31">
        <v>1995</v>
      </c>
      <c r="B16" s="32">
        <v>152020</v>
      </c>
      <c r="C16" s="32">
        <v>3613</v>
      </c>
      <c r="D16" s="32">
        <v>4143</v>
      </c>
      <c r="E16" s="32"/>
      <c r="F16" s="32"/>
      <c r="G16" s="30">
        <f t="shared" si="0"/>
        <v>159776</v>
      </c>
      <c r="H16" s="33">
        <v>1003132</v>
      </c>
      <c r="I16" s="35">
        <f t="shared" si="1"/>
        <v>0.15927714398503887</v>
      </c>
      <c r="J16" s="35">
        <f t="shared" si="2"/>
        <v>8.9297645181963217E-2</v>
      </c>
      <c r="K16" s="35">
        <f t="shared" si="2"/>
        <v>8.0696855402827117E-2</v>
      </c>
    </row>
    <row r="17" spans="1:11" ht="11.5" x14ac:dyDescent="0.25">
      <c r="A17" s="36">
        <v>1996</v>
      </c>
      <c r="B17" s="37">
        <v>176758</v>
      </c>
      <c r="C17" s="37">
        <v>3064</v>
      </c>
      <c r="D17" s="37">
        <v>3894</v>
      </c>
      <c r="E17" s="37"/>
      <c r="F17" s="37"/>
      <c r="G17" s="38">
        <f t="shared" si="0"/>
        <v>183716</v>
      </c>
      <c r="H17" s="39">
        <v>1090752</v>
      </c>
      <c r="I17" s="40">
        <f t="shared" si="1"/>
        <v>0.16843058733791</v>
      </c>
      <c r="J17" s="35">
        <f t="shared" si="2"/>
        <v>0.14983476867614662</v>
      </c>
      <c r="K17" s="35">
        <f t="shared" si="2"/>
        <v>8.7346430978176348E-2</v>
      </c>
    </row>
    <row r="18" spans="1:11" ht="11.5" x14ac:dyDescent="0.25">
      <c r="A18" s="41">
        <v>1997</v>
      </c>
      <c r="B18" s="32">
        <v>206929</v>
      </c>
      <c r="C18" s="32">
        <v>3849</v>
      </c>
      <c r="D18" s="32">
        <v>4118</v>
      </c>
      <c r="E18" s="32"/>
      <c r="F18" s="32"/>
      <c r="G18" s="30">
        <f t="shared" si="0"/>
        <v>214896</v>
      </c>
      <c r="H18" s="33">
        <v>1200772</v>
      </c>
      <c r="I18" s="35">
        <f t="shared" si="1"/>
        <v>0.17896486593624769</v>
      </c>
      <c r="J18" s="35">
        <f t="shared" si="2"/>
        <v>0.16971847852119576</v>
      </c>
      <c r="K18" s="35">
        <f t="shared" si="2"/>
        <v>0.10086619139822801</v>
      </c>
    </row>
    <row r="19" spans="1:11" ht="11.5" x14ac:dyDescent="0.25">
      <c r="A19" s="36">
        <v>1998</v>
      </c>
      <c r="B19" s="37">
        <v>212358</v>
      </c>
      <c r="C19" s="37">
        <v>4934</v>
      </c>
      <c r="D19" s="37">
        <v>4179</v>
      </c>
      <c r="E19" s="37"/>
      <c r="F19" s="37"/>
      <c r="G19" s="38">
        <f t="shared" si="0"/>
        <v>221471</v>
      </c>
      <c r="H19" s="39">
        <v>1253714</v>
      </c>
      <c r="I19" s="40">
        <f t="shared" si="1"/>
        <v>0.1766519317802944</v>
      </c>
      <c r="J19" s="35">
        <f t="shared" si="2"/>
        <v>3.0596195368922642E-2</v>
      </c>
      <c r="K19" s="35">
        <f t="shared" si="2"/>
        <v>4.4089968786747195E-2</v>
      </c>
    </row>
    <row r="20" spans="1:11" ht="11.5" x14ac:dyDescent="0.25">
      <c r="A20" s="31">
        <v>1999</v>
      </c>
      <c r="B20" s="32">
        <v>228638</v>
      </c>
      <c r="C20" s="32">
        <v>4896</v>
      </c>
      <c r="D20" s="32">
        <v>4439</v>
      </c>
      <c r="E20" s="32"/>
      <c r="F20" s="32"/>
      <c r="G20" s="30">
        <f t="shared" si="0"/>
        <v>237973</v>
      </c>
      <c r="H20" s="33">
        <v>1376782</v>
      </c>
      <c r="I20" s="35">
        <f t="shared" si="1"/>
        <v>0.17284726267484612</v>
      </c>
      <c r="J20" s="35">
        <f t="shared" si="2"/>
        <v>7.4510884043509085E-2</v>
      </c>
      <c r="K20" s="35">
        <f t="shared" si="2"/>
        <v>9.8162738870268662E-2</v>
      </c>
    </row>
    <row r="21" spans="1:11" ht="11.5" x14ac:dyDescent="0.25">
      <c r="A21" s="36">
        <v>2000</v>
      </c>
      <c r="B21" s="37">
        <v>252196</v>
      </c>
      <c r="C21" s="37">
        <v>5581</v>
      </c>
      <c r="D21" s="37">
        <v>4944</v>
      </c>
      <c r="E21" s="37">
        <v>55929</v>
      </c>
      <c r="F21" s="37"/>
      <c r="G21" s="38">
        <f>SUM(B21:E21)</f>
        <v>318650</v>
      </c>
      <c r="H21" s="39">
        <v>1497107</v>
      </c>
      <c r="I21" s="40">
        <f t="shared" si="1"/>
        <v>0.21284383814917704</v>
      </c>
      <c r="J21" s="35">
        <f t="shared" si="2"/>
        <v>0.3390174515596307</v>
      </c>
      <c r="K21" s="35">
        <f t="shared" si="2"/>
        <v>8.7395825918700279E-2</v>
      </c>
    </row>
    <row r="22" spans="1:11" ht="11.5" x14ac:dyDescent="0.25">
      <c r="A22" s="31">
        <v>2001</v>
      </c>
      <c r="B22" s="32">
        <v>268136</v>
      </c>
      <c r="C22" s="32">
        <v>5291</v>
      </c>
      <c r="D22" s="32">
        <v>5075</v>
      </c>
      <c r="E22" s="32">
        <v>62963</v>
      </c>
      <c r="F22" s="32"/>
      <c r="G22" s="30">
        <f t="shared" ref="G22:G37" si="3">SUM(B22:E22)</f>
        <v>341465</v>
      </c>
      <c r="H22" s="33">
        <v>1529490</v>
      </c>
      <c r="I22" s="35">
        <f t="shared" si="1"/>
        <v>0.22325415661429626</v>
      </c>
      <c r="J22" s="35">
        <f t="shared" si="2"/>
        <v>7.1598932998587786E-2</v>
      </c>
      <c r="K22" s="35">
        <f t="shared" si="2"/>
        <v>2.1630384468177624E-2</v>
      </c>
    </row>
    <row r="23" spans="1:11" ht="11.5" x14ac:dyDescent="0.25">
      <c r="A23" s="36">
        <v>2002</v>
      </c>
      <c r="B23" s="37">
        <v>265463</v>
      </c>
      <c r="C23" s="37">
        <v>5333</v>
      </c>
      <c r="D23" s="37">
        <v>5229</v>
      </c>
      <c r="E23" s="37">
        <v>59591</v>
      </c>
      <c r="F23" s="37"/>
      <c r="G23" s="38">
        <f t="shared" si="3"/>
        <v>335616</v>
      </c>
      <c r="H23" s="39">
        <v>1495355</v>
      </c>
      <c r="I23" s="40">
        <f t="shared" si="1"/>
        <v>0.22443901280966727</v>
      </c>
      <c r="J23" s="35">
        <f t="shared" si="2"/>
        <v>-1.7129134757588624E-2</v>
      </c>
      <c r="K23" s="35">
        <f t="shared" si="2"/>
        <v>-2.2317896815278297E-2</v>
      </c>
    </row>
    <row r="24" spans="1:11" ht="11.5" x14ac:dyDescent="0.25">
      <c r="A24" s="31">
        <v>2003</v>
      </c>
      <c r="B24" s="32">
        <v>276214</v>
      </c>
      <c r="C24" s="32">
        <v>10391</v>
      </c>
      <c r="D24" s="32">
        <v>5899</v>
      </c>
      <c r="E24" s="32">
        <v>51901</v>
      </c>
      <c r="F24" s="32"/>
      <c r="G24" s="30">
        <f t="shared" si="3"/>
        <v>344405</v>
      </c>
      <c r="H24" s="33">
        <v>1592335</v>
      </c>
      <c r="I24" s="35">
        <f t="shared" si="1"/>
        <v>0.21628928586007343</v>
      </c>
      <c r="J24" s="35">
        <f t="shared" si="2"/>
        <v>2.6187666857360792E-2</v>
      </c>
      <c r="K24" s="35">
        <f t="shared" si="2"/>
        <v>6.4854165064483021E-2</v>
      </c>
    </row>
    <row r="25" spans="1:11" ht="11.5" x14ac:dyDescent="0.25">
      <c r="A25" s="36">
        <v>2004</v>
      </c>
      <c r="B25" s="37">
        <v>284243</v>
      </c>
      <c r="C25" s="37">
        <v>20207</v>
      </c>
      <c r="D25" s="37">
        <v>7575</v>
      </c>
      <c r="E25" s="37">
        <v>42802</v>
      </c>
      <c r="F25" s="37"/>
      <c r="G25" s="38">
        <f t="shared" si="3"/>
        <v>354827</v>
      </c>
      <c r="H25" s="39">
        <v>1717161</v>
      </c>
      <c r="I25" s="40">
        <f t="shared" si="1"/>
        <v>0.20663583670954558</v>
      </c>
      <c r="J25" s="35">
        <f t="shared" si="2"/>
        <v>3.0260884714217274E-2</v>
      </c>
      <c r="K25" s="35">
        <f t="shared" si="2"/>
        <v>7.8391795696257385E-2</v>
      </c>
    </row>
    <row r="26" spans="1:11" ht="11.5" x14ac:dyDescent="0.25">
      <c r="A26" s="31">
        <v>2005</v>
      </c>
      <c r="B26" s="32">
        <v>300254</v>
      </c>
      <c r="C26" s="32">
        <v>23682</v>
      </c>
      <c r="D26" s="32">
        <v>9570</v>
      </c>
      <c r="E26" s="32">
        <v>43814</v>
      </c>
      <c r="F26" s="32"/>
      <c r="G26" s="30">
        <f t="shared" si="3"/>
        <v>377320</v>
      </c>
      <c r="H26" s="33">
        <v>1845575</v>
      </c>
      <c r="I26" s="35">
        <f t="shared" si="1"/>
        <v>0.20444576893380112</v>
      </c>
      <c r="J26" s="35">
        <f t="shared" ref="J26:K31" si="4">(G26-G25)/G25</f>
        <v>6.339145555439693E-2</v>
      </c>
      <c r="K26" s="35">
        <f t="shared" si="4"/>
        <v>7.4782737320495868E-2</v>
      </c>
    </row>
    <row r="27" spans="1:11" ht="11.5" x14ac:dyDescent="0.25">
      <c r="A27" s="36">
        <v>2006</v>
      </c>
      <c r="B27" s="37">
        <v>327650</v>
      </c>
      <c r="C27" s="37">
        <v>33439</v>
      </c>
      <c r="D27" s="37">
        <v>24896</v>
      </c>
      <c r="E27" s="37">
        <v>48695</v>
      </c>
      <c r="F27" s="37"/>
      <c r="G27" s="38">
        <f t="shared" si="3"/>
        <v>434680</v>
      </c>
      <c r="H27" s="39">
        <v>2318525</v>
      </c>
      <c r="I27" s="40">
        <f t="shared" si="1"/>
        <v>0.18748126502841245</v>
      </c>
      <c r="J27" s="35">
        <f t="shared" si="4"/>
        <v>0.15201950598961095</v>
      </c>
      <c r="K27" s="35">
        <f t="shared" si="4"/>
        <v>0.25626159868875553</v>
      </c>
    </row>
    <row r="28" spans="1:11" ht="11.5" x14ac:dyDescent="0.25">
      <c r="A28" s="31">
        <v>2007</v>
      </c>
      <c r="B28" s="32">
        <v>352501</v>
      </c>
      <c r="C28" s="32">
        <v>45289</v>
      </c>
      <c r="D28" s="32">
        <v>25701</v>
      </c>
      <c r="E28" s="32">
        <v>61195</v>
      </c>
      <c r="F28" s="32"/>
      <c r="G28" s="30">
        <f t="shared" si="3"/>
        <v>484686</v>
      </c>
      <c r="H28" s="33">
        <v>2501537</v>
      </c>
      <c r="I28" s="35">
        <f t="shared" si="1"/>
        <v>0.19375527925431446</v>
      </c>
      <c r="J28" s="35">
        <f t="shared" si="4"/>
        <v>0.11504094966412073</v>
      </c>
      <c r="K28" s="35">
        <f t="shared" si="4"/>
        <v>7.8934667514907103E-2</v>
      </c>
    </row>
    <row r="29" spans="1:11" ht="11.5" x14ac:dyDescent="0.25">
      <c r="A29" s="36">
        <v>2008</v>
      </c>
      <c r="B29" s="37">
        <v>321693</v>
      </c>
      <c r="C29" s="37">
        <v>49927</v>
      </c>
      <c r="D29" s="37">
        <v>26676</v>
      </c>
      <c r="E29" s="37">
        <v>49642</v>
      </c>
      <c r="F29" s="37"/>
      <c r="G29" s="38">
        <f t="shared" si="3"/>
        <v>447938</v>
      </c>
      <c r="H29" s="39">
        <v>2420072</v>
      </c>
      <c r="I29" s="40">
        <f t="shared" si="1"/>
        <v>0.18509284021301844</v>
      </c>
      <c r="J29" s="35">
        <f t="shared" si="4"/>
        <v>-7.5818158560387552E-2</v>
      </c>
      <c r="K29" s="35">
        <f t="shared" si="4"/>
        <v>-3.2565978436457269E-2</v>
      </c>
    </row>
    <row r="30" spans="1:11" ht="11.5" x14ac:dyDescent="0.25">
      <c r="A30" s="31">
        <v>2009</v>
      </c>
      <c r="B30" s="32">
        <v>278965</v>
      </c>
      <c r="C30" s="32">
        <v>48128</v>
      </c>
      <c r="D30" s="32">
        <v>30948</v>
      </c>
      <c r="E30" s="32">
        <v>43399</v>
      </c>
      <c r="F30" s="32"/>
      <c r="G30" s="30">
        <f t="shared" si="3"/>
        <v>401440</v>
      </c>
      <c r="H30" s="33">
        <v>2167605</v>
      </c>
      <c r="I30" s="35">
        <f t="shared" si="1"/>
        <v>0.18519979424295477</v>
      </c>
      <c r="J30" s="35">
        <f t="shared" si="4"/>
        <v>-0.10380454437890958</v>
      </c>
      <c r="K30" s="35">
        <f t="shared" si="4"/>
        <v>-0.10432210281347001</v>
      </c>
    </row>
    <row r="31" spans="1:11" ht="11.5" x14ac:dyDescent="0.25">
      <c r="A31" s="36">
        <v>2010</v>
      </c>
      <c r="B31" s="37">
        <v>277832</v>
      </c>
      <c r="C31" s="37">
        <v>43290</v>
      </c>
      <c r="D31" s="37">
        <v>26522</v>
      </c>
      <c r="E31" s="37">
        <v>37661</v>
      </c>
      <c r="F31" s="37"/>
      <c r="G31" s="38">
        <f t="shared" si="3"/>
        <v>385305</v>
      </c>
      <c r="H31" s="39">
        <v>2116512</v>
      </c>
      <c r="I31" s="40">
        <f t="shared" si="1"/>
        <v>0.18204716061142107</v>
      </c>
      <c r="J31" s="35">
        <f t="shared" si="4"/>
        <v>-4.019280589876445E-2</v>
      </c>
      <c r="K31" s="35">
        <f t="shared" si="4"/>
        <v>-2.3571176482800143E-2</v>
      </c>
    </row>
    <row r="32" spans="1:11" ht="11.5" x14ac:dyDescent="0.25">
      <c r="A32" s="31">
        <v>2011</v>
      </c>
      <c r="B32" s="32">
        <v>303054</v>
      </c>
      <c r="C32" s="32">
        <v>27799</v>
      </c>
      <c r="D32" s="32">
        <v>21494</v>
      </c>
      <c r="E32" s="32">
        <v>33395</v>
      </c>
      <c r="F32" s="32"/>
      <c r="G32" s="30">
        <f t="shared" si="3"/>
        <v>385742</v>
      </c>
      <c r="H32" s="33">
        <v>2140308</v>
      </c>
      <c r="I32" s="35">
        <f t="shared" si="1"/>
        <v>0.1802273317672036</v>
      </c>
      <c r="J32" s="35"/>
      <c r="K32" s="35"/>
    </row>
    <row r="33" spans="1:11" ht="11.5" x14ac:dyDescent="0.25">
      <c r="A33" s="36">
        <v>2012</v>
      </c>
      <c r="B33" s="37">
        <v>290004</v>
      </c>
      <c r="C33" s="37">
        <v>27674</v>
      </c>
      <c r="D33" s="37">
        <v>16111</v>
      </c>
      <c r="E33" s="37">
        <v>29042</v>
      </c>
      <c r="F33" s="37"/>
      <c r="G33" s="38">
        <f t="shared" si="3"/>
        <v>362831</v>
      </c>
      <c r="H33" s="39">
        <v>1924668</v>
      </c>
      <c r="I33" s="40">
        <f t="shared" si="1"/>
        <v>0.18851614927873275</v>
      </c>
      <c r="J33" s="35"/>
      <c r="K33" s="35"/>
    </row>
    <row r="34" spans="1:11" ht="11.5" x14ac:dyDescent="0.25">
      <c r="A34" s="31">
        <v>2013</v>
      </c>
      <c r="B34" s="32">
        <v>276496</v>
      </c>
      <c r="C34" s="32">
        <v>27050</v>
      </c>
      <c r="D34" s="32">
        <v>16977</v>
      </c>
      <c r="E34" s="32">
        <v>27734</v>
      </c>
      <c r="F34" s="32"/>
      <c r="G34" s="30">
        <f t="shared" si="3"/>
        <v>348257</v>
      </c>
      <c r="H34" s="33">
        <v>1790861</v>
      </c>
      <c r="I34" s="35">
        <f t="shared" si="1"/>
        <v>0.19446344523667666</v>
      </c>
      <c r="J34" s="35"/>
      <c r="K34" s="35"/>
    </row>
    <row r="35" spans="1:11" ht="11.5" x14ac:dyDescent="0.25">
      <c r="A35" s="36">
        <v>2014</v>
      </c>
      <c r="B35" s="37">
        <v>283850</v>
      </c>
      <c r="C35" s="37">
        <v>20629</v>
      </c>
      <c r="D35" s="37">
        <v>15986</v>
      </c>
      <c r="E35" s="37">
        <v>27060</v>
      </c>
      <c r="F35" s="37"/>
      <c r="G35" s="38">
        <f t="shared" si="3"/>
        <v>347525</v>
      </c>
      <c r="H35" s="39">
        <v>1832711</v>
      </c>
      <c r="I35" s="40">
        <f t="shared" si="1"/>
        <v>0.18962345945432749</v>
      </c>
      <c r="J35" s="35"/>
      <c r="K35" s="35"/>
    </row>
    <row r="36" spans="1:11" ht="11.5" x14ac:dyDescent="0.25">
      <c r="A36" s="31">
        <v>2015</v>
      </c>
      <c r="B36" s="32">
        <v>288879</v>
      </c>
      <c r="C36" s="32">
        <v>19529</v>
      </c>
      <c r="D36" s="32">
        <v>13533</v>
      </c>
      <c r="E36" s="32">
        <v>29975</v>
      </c>
      <c r="F36" s="32"/>
      <c r="G36" s="30">
        <f t="shared" si="3"/>
        <v>351916</v>
      </c>
      <c r="H36" s="33">
        <v>1902967</v>
      </c>
      <c r="I36" s="35">
        <f t="shared" si="1"/>
        <v>0.18493016431709011</v>
      </c>
      <c r="J36" s="35"/>
      <c r="K36" s="35"/>
    </row>
    <row r="37" spans="1:11" ht="11.5" x14ac:dyDescent="0.25">
      <c r="A37" s="36">
        <v>2016</v>
      </c>
      <c r="B37" s="37">
        <v>307864</v>
      </c>
      <c r="C37" s="37">
        <v>18815</v>
      </c>
      <c r="D37" s="37">
        <v>14472</v>
      </c>
      <c r="E37" s="37">
        <v>36002</v>
      </c>
      <c r="F37" s="37"/>
      <c r="G37" s="38">
        <f t="shared" si="3"/>
        <v>377153</v>
      </c>
      <c r="H37" s="39">
        <v>2045034</v>
      </c>
      <c r="I37" s="40">
        <f t="shared" si="1"/>
        <v>0.18442382865028162</v>
      </c>
      <c r="J37" s="35"/>
      <c r="K37" s="35"/>
    </row>
    <row r="38" spans="1:11" ht="11.5" x14ac:dyDescent="0.25">
      <c r="A38" s="42">
        <v>2017</v>
      </c>
      <c r="B38" s="43">
        <v>323539</v>
      </c>
      <c r="C38" s="43">
        <v>19252</v>
      </c>
      <c r="D38" s="43">
        <v>16023</v>
      </c>
      <c r="E38" s="43">
        <v>41260</v>
      </c>
      <c r="F38" s="43">
        <v>2554</v>
      </c>
      <c r="G38" s="44">
        <f>SUM(B38:F38)</f>
        <v>402628</v>
      </c>
      <c r="H38" s="45">
        <f>2174263+F38</f>
        <v>2176817</v>
      </c>
      <c r="I38" s="46">
        <f t="shared" si="1"/>
        <v>0.18496180432254986</v>
      </c>
      <c r="J38" s="35"/>
      <c r="K38" s="35"/>
    </row>
    <row r="39" spans="1:11" ht="11.5" x14ac:dyDescent="0.25">
      <c r="A39" s="36">
        <v>2018</v>
      </c>
      <c r="B39" s="37">
        <v>335651</v>
      </c>
      <c r="C39" s="37">
        <v>17870</v>
      </c>
      <c r="D39" s="37">
        <v>16855</v>
      </c>
      <c r="E39" s="37">
        <v>4540</v>
      </c>
      <c r="F39" s="37">
        <v>6058</v>
      </c>
      <c r="G39" s="38">
        <f>SUM(B39:F39)</f>
        <v>380974</v>
      </c>
      <c r="H39" s="39">
        <f>2300189+F39</f>
        <v>2306247</v>
      </c>
      <c r="I39" s="40">
        <f>G39/H39</f>
        <v>0.16519219320393697</v>
      </c>
      <c r="J39" s="35"/>
      <c r="K39" s="35"/>
    </row>
    <row r="40" spans="1:11" ht="11.5" x14ac:dyDescent="0.25">
      <c r="A40" s="47">
        <v>2019</v>
      </c>
      <c r="B40" s="48">
        <v>344563</v>
      </c>
      <c r="C40" s="48">
        <v>18253</v>
      </c>
      <c r="D40" s="48">
        <v>17679</v>
      </c>
      <c r="E40" s="48">
        <v>50663</v>
      </c>
      <c r="F40" s="48">
        <v>29824</v>
      </c>
      <c r="G40" s="38">
        <f>SUM(B40:F40)</f>
        <v>460982</v>
      </c>
      <c r="H40" s="49">
        <v>2361045</v>
      </c>
      <c r="I40" s="40">
        <f>G40/H40</f>
        <v>0.19524490215137788</v>
      </c>
      <c r="J40" s="35"/>
      <c r="K40" s="35"/>
    </row>
    <row r="41" spans="1:11" s="10" customFormat="1" ht="12" customHeight="1" x14ac:dyDescent="0.25">
      <c r="A41" s="50"/>
      <c r="B41" s="51"/>
      <c r="C41" s="16"/>
      <c r="D41" s="16"/>
      <c r="E41" s="16"/>
      <c r="F41" s="16"/>
      <c r="G41" s="16"/>
      <c r="H41" s="16"/>
      <c r="I41" s="17"/>
      <c r="J41" s="16"/>
      <c r="K41" s="16"/>
    </row>
    <row r="42" spans="1:11" ht="15" customHeight="1" x14ac:dyDescent="0.3">
      <c r="A42" s="52" t="s">
        <v>47</v>
      </c>
      <c r="B42" s="34"/>
    </row>
    <row r="43" spans="1:11" ht="11.5" x14ac:dyDescent="0.25">
      <c r="A43" s="55"/>
      <c r="B43" s="34"/>
    </row>
    <row r="51" spans="9:9" ht="12.75" customHeight="1" x14ac:dyDescent="0.25"/>
    <row r="52" spans="9:9" s="10" customFormat="1" ht="12" customHeight="1" x14ac:dyDescent="0.25">
      <c r="I52" s="56"/>
    </row>
    <row r="65" spans="1:11" ht="11.5" x14ac:dyDescent="0.25">
      <c r="A65" s="57"/>
      <c r="B65" s="28"/>
      <c r="C65" s="58"/>
      <c r="D65" s="58"/>
      <c r="E65" s="58"/>
      <c r="F65" s="58"/>
      <c r="G65" s="58"/>
      <c r="H65" s="58"/>
      <c r="I65" s="59"/>
      <c r="J65" s="58"/>
      <c r="K65" s="58"/>
    </row>
    <row r="66" spans="1:11" s="10" customFormat="1" ht="12" customHeight="1" x14ac:dyDescent="0.25">
      <c r="I66" s="56"/>
    </row>
    <row r="76" spans="1:11" ht="12.75" customHeight="1" x14ac:dyDescent="0.25"/>
    <row r="77" spans="1:11" s="10" customFormat="1" ht="12" customHeight="1" x14ac:dyDescent="0.25">
      <c r="I77" s="56"/>
    </row>
    <row r="86" spans="1:11" ht="11.5" x14ac:dyDescent="0.25">
      <c r="A86" s="60"/>
      <c r="B86" s="61"/>
      <c r="C86" s="58"/>
      <c r="D86" s="58"/>
      <c r="E86" s="58"/>
      <c r="F86" s="58"/>
      <c r="G86" s="58"/>
      <c r="H86" s="58"/>
      <c r="I86" s="59"/>
      <c r="J86" s="58"/>
      <c r="K86" s="58"/>
    </row>
    <row r="87" spans="1:11" s="63" customFormat="1" ht="11.5" x14ac:dyDescent="0.25">
      <c r="A87" s="62"/>
      <c r="B87" s="11"/>
      <c r="C87" s="12"/>
      <c r="D87" s="12"/>
      <c r="E87" s="12"/>
      <c r="F87" s="12"/>
      <c r="G87" s="12"/>
      <c r="H87" s="12"/>
      <c r="I87" s="13"/>
      <c r="J87" s="12"/>
      <c r="K87" s="12"/>
    </row>
    <row r="88" spans="1:11" s="63" customFormat="1" ht="11.5" x14ac:dyDescent="0.25">
      <c r="A88" s="62"/>
      <c r="B88" s="11"/>
      <c r="C88" s="12"/>
      <c r="D88" s="12"/>
      <c r="E88" s="12"/>
      <c r="F88" s="12"/>
      <c r="G88" s="12"/>
      <c r="H88" s="12"/>
      <c r="I88" s="13"/>
      <c r="J88" s="12"/>
      <c r="K88" s="12"/>
    </row>
    <row r="89" spans="1:11" ht="12" customHeight="1" x14ac:dyDescent="0.25">
      <c r="A89" s="34"/>
      <c r="B89" s="64"/>
    </row>
    <row r="90" spans="1:11" ht="13" x14ac:dyDescent="0.3">
      <c r="A90" s="65"/>
      <c r="B90" s="64"/>
    </row>
    <row r="91" spans="1:11" ht="12" customHeight="1" x14ac:dyDescent="0.25">
      <c r="A91" s="66"/>
      <c r="B91" s="64"/>
    </row>
  </sheetData>
  <pageMargins left="0.46" right="0.75" top="0.55118110236220474" bottom="0" header="0" footer="0"/>
  <pageSetup paperSize="9" orientation="portrait" r:id="rId1"/>
  <headerFooter alignWithMargins="0"/>
  <ignoredErrors>
    <ignoredError sqref="G8:G35 G36:G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8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7" width="9.54296875" style="67" customWidth="1"/>
    <col min="8" max="8" width="10.81640625" style="67" customWidth="1"/>
    <col min="9" max="9" width="9.54296875" style="72" customWidth="1"/>
    <col min="10" max="11" width="9.1796875" style="67" hidden="1" customWidth="1"/>
    <col min="12" max="256" width="11.453125" style="67"/>
    <col min="257" max="263" width="9.54296875" style="67" customWidth="1"/>
    <col min="264" max="264" width="10.81640625" style="67" customWidth="1"/>
    <col min="265" max="265" width="9.54296875" style="67" customWidth="1"/>
    <col min="266" max="267" width="0" style="67" hidden="1" customWidth="1"/>
    <col min="268" max="512" width="11.453125" style="67"/>
    <col min="513" max="519" width="9.54296875" style="67" customWidth="1"/>
    <col min="520" max="520" width="10.81640625" style="67" customWidth="1"/>
    <col min="521" max="521" width="9.54296875" style="67" customWidth="1"/>
    <col min="522" max="523" width="0" style="67" hidden="1" customWidth="1"/>
    <col min="524" max="768" width="11.453125" style="67"/>
    <col min="769" max="775" width="9.54296875" style="67" customWidth="1"/>
    <col min="776" max="776" width="10.81640625" style="67" customWidth="1"/>
    <col min="777" max="777" width="9.54296875" style="67" customWidth="1"/>
    <col min="778" max="779" width="0" style="67" hidden="1" customWidth="1"/>
    <col min="780" max="1024" width="11.453125" style="67"/>
    <col min="1025" max="1031" width="9.54296875" style="67" customWidth="1"/>
    <col min="1032" max="1032" width="10.81640625" style="67" customWidth="1"/>
    <col min="1033" max="1033" width="9.54296875" style="67" customWidth="1"/>
    <col min="1034" max="1035" width="0" style="67" hidden="1" customWidth="1"/>
    <col min="1036" max="1280" width="11.453125" style="67"/>
    <col min="1281" max="1287" width="9.54296875" style="67" customWidth="1"/>
    <col min="1288" max="1288" width="10.81640625" style="67" customWidth="1"/>
    <col min="1289" max="1289" width="9.54296875" style="67" customWidth="1"/>
    <col min="1290" max="1291" width="0" style="67" hidden="1" customWidth="1"/>
    <col min="1292" max="1536" width="11.453125" style="67"/>
    <col min="1537" max="1543" width="9.54296875" style="67" customWidth="1"/>
    <col min="1544" max="1544" width="10.81640625" style="67" customWidth="1"/>
    <col min="1545" max="1545" width="9.54296875" style="67" customWidth="1"/>
    <col min="1546" max="1547" width="0" style="67" hidden="1" customWidth="1"/>
    <col min="1548" max="1792" width="11.453125" style="67"/>
    <col min="1793" max="1799" width="9.54296875" style="67" customWidth="1"/>
    <col min="1800" max="1800" width="10.81640625" style="67" customWidth="1"/>
    <col min="1801" max="1801" width="9.54296875" style="67" customWidth="1"/>
    <col min="1802" max="1803" width="0" style="67" hidden="1" customWidth="1"/>
    <col min="1804" max="2048" width="11.453125" style="67"/>
    <col min="2049" max="2055" width="9.54296875" style="67" customWidth="1"/>
    <col min="2056" max="2056" width="10.81640625" style="67" customWidth="1"/>
    <col min="2057" max="2057" width="9.54296875" style="67" customWidth="1"/>
    <col min="2058" max="2059" width="0" style="67" hidden="1" customWidth="1"/>
    <col min="2060" max="2304" width="11.453125" style="67"/>
    <col min="2305" max="2311" width="9.54296875" style="67" customWidth="1"/>
    <col min="2312" max="2312" width="10.81640625" style="67" customWidth="1"/>
    <col min="2313" max="2313" width="9.54296875" style="67" customWidth="1"/>
    <col min="2314" max="2315" width="0" style="67" hidden="1" customWidth="1"/>
    <col min="2316" max="2560" width="11.453125" style="67"/>
    <col min="2561" max="2567" width="9.54296875" style="67" customWidth="1"/>
    <col min="2568" max="2568" width="10.81640625" style="67" customWidth="1"/>
    <col min="2569" max="2569" width="9.54296875" style="67" customWidth="1"/>
    <col min="2570" max="2571" width="0" style="67" hidden="1" customWidth="1"/>
    <col min="2572" max="2816" width="11.453125" style="67"/>
    <col min="2817" max="2823" width="9.54296875" style="67" customWidth="1"/>
    <col min="2824" max="2824" width="10.81640625" style="67" customWidth="1"/>
    <col min="2825" max="2825" width="9.54296875" style="67" customWidth="1"/>
    <col min="2826" max="2827" width="0" style="67" hidden="1" customWidth="1"/>
    <col min="2828" max="3072" width="11.453125" style="67"/>
    <col min="3073" max="3079" width="9.54296875" style="67" customWidth="1"/>
    <col min="3080" max="3080" width="10.81640625" style="67" customWidth="1"/>
    <col min="3081" max="3081" width="9.54296875" style="67" customWidth="1"/>
    <col min="3082" max="3083" width="0" style="67" hidden="1" customWidth="1"/>
    <col min="3084" max="3328" width="11.453125" style="67"/>
    <col min="3329" max="3335" width="9.54296875" style="67" customWidth="1"/>
    <col min="3336" max="3336" width="10.81640625" style="67" customWidth="1"/>
    <col min="3337" max="3337" width="9.54296875" style="67" customWidth="1"/>
    <col min="3338" max="3339" width="0" style="67" hidden="1" customWidth="1"/>
    <col min="3340" max="3584" width="11.453125" style="67"/>
    <col min="3585" max="3591" width="9.54296875" style="67" customWidth="1"/>
    <col min="3592" max="3592" width="10.81640625" style="67" customWidth="1"/>
    <col min="3593" max="3593" width="9.54296875" style="67" customWidth="1"/>
    <col min="3594" max="3595" width="0" style="67" hidden="1" customWidth="1"/>
    <col min="3596" max="3840" width="11.453125" style="67"/>
    <col min="3841" max="3847" width="9.54296875" style="67" customWidth="1"/>
    <col min="3848" max="3848" width="10.81640625" style="67" customWidth="1"/>
    <col min="3849" max="3849" width="9.54296875" style="67" customWidth="1"/>
    <col min="3850" max="3851" width="0" style="67" hidden="1" customWidth="1"/>
    <col min="3852" max="4096" width="11.453125" style="67"/>
    <col min="4097" max="4103" width="9.54296875" style="67" customWidth="1"/>
    <col min="4104" max="4104" width="10.81640625" style="67" customWidth="1"/>
    <col min="4105" max="4105" width="9.54296875" style="67" customWidth="1"/>
    <col min="4106" max="4107" width="0" style="67" hidden="1" customWidth="1"/>
    <col min="4108" max="4352" width="11.453125" style="67"/>
    <col min="4353" max="4359" width="9.54296875" style="67" customWidth="1"/>
    <col min="4360" max="4360" width="10.81640625" style="67" customWidth="1"/>
    <col min="4361" max="4361" width="9.54296875" style="67" customWidth="1"/>
    <col min="4362" max="4363" width="0" style="67" hidden="1" customWidth="1"/>
    <col min="4364" max="4608" width="11.453125" style="67"/>
    <col min="4609" max="4615" width="9.54296875" style="67" customWidth="1"/>
    <col min="4616" max="4616" width="10.81640625" style="67" customWidth="1"/>
    <col min="4617" max="4617" width="9.54296875" style="67" customWidth="1"/>
    <col min="4618" max="4619" width="0" style="67" hidden="1" customWidth="1"/>
    <col min="4620" max="4864" width="11.453125" style="67"/>
    <col min="4865" max="4871" width="9.54296875" style="67" customWidth="1"/>
    <col min="4872" max="4872" width="10.81640625" style="67" customWidth="1"/>
    <col min="4873" max="4873" width="9.54296875" style="67" customWidth="1"/>
    <col min="4874" max="4875" width="0" style="67" hidden="1" customWidth="1"/>
    <col min="4876" max="5120" width="11.453125" style="67"/>
    <col min="5121" max="5127" width="9.54296875" style="67" customWidth="1"/>
    <col min="5128" max="5128" width="10.81640625" style="67" customWidth="1"/>
    <col min="5129" max="5129" width="9.54296875" style="67" customWidth="1"/>
    <col min="5130" max="5131" width="0" style="67" hidden="1" customWidth="1"/>
    <col min="5132" max="5376" width="11.453125" style="67"/>
    <col min="5377" max="5383" width="9.54296875" style="67" customWidth="1"/>
    <col min="5384" max="5384" width="10.81640625" style="67" customWidth="1"/>
    <col min="5385" max="5385" width="9.54296875" style="67" customWidth="1"/>
    <col min="5386" max="5387" width="0" style="67" hidden="1" customWidth="1"/>
    <col min="5388" max="5632" width="11.453125" style="67"/>
    <col min="5633" max="5639" width="9.54296875" style="67" customWidth="1"/>
    <col min="5640" max="5640" width="10.81640625" style="67" customWidth="1"/>
    <col min="5641" max="5641" width="9.54296875" style="67" customWidth="1"/>
    <col min="5642" max="5643" width="0" style="67" hidden="1" customWidth="1"/>
    <col min="5644" max="5888" width="11.453125" style="67"/>
    <col min="5889" max="5895" width="9.54296875" style="67" customWidth="1"/>
    <col min="5896" max="5896" width="10.81640625" style="67" customWidth="1"/>
    <col min="5897" max="5897" width="9.54296875" style="67" customWidth="1"/>
    <col min="5898" max="5899" width="0" style="67" hidden="1" customWidth="1"/>
    <col min="5900" max="6144" width="11.453125" style="67"/>
    <col min="6145" max="6151" width="9.54296875" style="67" customWidth="1"/>
    <col min="6152" max="6152" width="10.81640625" style="67" customWidth="1"/>
    <col min="6153" max="6153" width="9.54296875" style="67" customWidth="1"/>
    <col min="6154" max="6155" width="0" style="67" hidden="1" customWidth="1"/>
    <col min="6156" max="6400" width="11.453125" style="67"/>
    <col min="6401" max="6407" width="9.54296875" style="67" customWidth="1"/>
    <col min="6408" max="6408" width="10.81640625" style="67" customWidth="1"/>
    <col min="6409" max="6409" width="9.54296875" style="67" customWidth="1"/>
    <col min="6410" max="6411" width="0" style="67" hidden="1" customWidth="1"/>
    <col min="6412" max="6656" width="11.453125" style="67"/>
    <col min="6657" max="6663" width="9.54296875" style="67" customWidth="1"/>
    <col min="6664" max="6664" width="10.81640625" style="67" customWidth="1"/>
    <col min="6665" max="6665" width="9.54296875" style="67" customWidth="1"/>
    <col min="6666" max="6667" width="0" style="67" hidden="1" customWidth="1"/>
    <col min="6668" max="6912" width="11.453125" style="67"/>
    <col min="6913" max="6919" width="9.54296875" style="67" customWidth="1"/>
    <col min="6920" max="6920" width="10.81640625" style="67" customWidth="1"/>
    <col min="6921" max="6921" width="9.54296875" style="67" customWidth="1"/>
    <col min="6922" max="6923" width="0" style="67" hidden="1" customWidth="1"/>
    <col min="6924" max="7168" width="11.453125" style="67"/>
    <col min="7169" max="7175" width="9.54296875" style="67" customWidth="1"/>
    <col min="7176" max="7176" width="10.81640625" style="67" customWidth="1"/>
    <col min="7177" max="7177" width="9.54296875" style="67" customWidth="1"/>
    <col min="7178" max="7179" width="0" style="67" hidden="1" customWidth="1"/>
    <col min="7180" max="7424" width="11.453125" style="67"/>
    <col min="7425" max="7431" width="9.54296875" style="67" customWidth="1"/>
    <col min="7432" max="7432" width="10.81640625" style="67" customWidth="1"/>
    <col min="7433" max="7433" width="9.54296875" style="67" customWidth="1"/>
    <col min="7434" max="7435" width="0" style="67" hidden="1" customWidth="1"/>
    <col min="7436" max="7680" width="11.453125" style="67"/>
    <col min="7681" max="7687" width="9.54296875" style="67" customWidth="1"/>
    <col min="7688" max="7688" width="10.81640625" style="67" customWidth="1"/>
    <col min="7689" max="7689" width="9.54296875" style="67" customWidth="1"/>
    <col min="7690" max="7691" width="0" style="67" hidden="1" customWidth="1"/>
    <col min="7692" max="7936" width="11.453125" style="67"/>
    <col min="7937" max="7943" width="9.54296875" style="67" customWidth="1"/>
    <col min="7944" max="7944" width="10.81640625" style="67" customWidth="1"/>
    <col min="7945" max="7945" width="9.54296875" style="67" customWidth="1"/>
    <col min="7946" max="7947" width="0" style="67" hidden="1" customWidth="1"/>
    <col min="7948" max="8192" width="11.453125" style="67"/>
    <col min="8193" max="8199" width="9.54296875" style="67" customWidth="1"/>
    <col min="8200" max="8200" width="10.81640625" style="67" customWidth="1"/>
    <col min="8201" max="8201" width="9.54296875" style="67" customWidth="1"/>
    <col min="8202" max="8203" width="0" style="67" hidden="1" customWidth="1"/>
    <col min="8204" max="8448" width="11.453125" style="67"/>
    <col min="8449" max="8455" width="9.54296875" style="67" customWidth="1"/>
    <col min="8456" max="8456" width="10.81640625" style="67" customWidth="1"/>
    <col min="8457" max="8457" width="9.54296875" style="67" customWidth="1"/>
    <col min="8458" max="8459" width="0" style="67" hidden="1" customWidth="1"/>
    <col min="8460" max="8704" width="11.453125" style="67"/>
    <col min="8705" max="8711" width="9.54296875" style="67" customWidth="1"/>
    <col min="8712" max="8712" width="10.81640625" style="67" customWidth="1"/>
    <col min="8713" max="8713" width="9.54296875" style="67" customWidth="1"/>
    <col min="8714" max="8715" width="0" style="67" hidden="1" customWidth="1"/>
    <col min="8716" max="8960" width="11.453125" style="67"/>
    <col min="8961" max="8967" width="9.54296875" style="67" customWidth="1"/>
    <col min="8968" max="8968" width="10.81640625" style="67" customWidth="1"/>
    <col min="8969" max="8969" width="9.54296875" style="67" customWidth="1"/>
    <col min="8970" max="8971" width="0" style="67" hidden="1" customWidth="1"/>
    <col min="8972" max="9216" width="11.453125" style="67"/>
    <col min="9217" max="9223" width="9.54296875" style="67" customWidth="1"/>
    <col min="9224" max="9224" width="10.81640625" style="67" customWidth="1"/>
    <col min="9225" max="9225" width="9.54296875" style="67" customWidth="1"/>
    <col min="9226" max="9227" width="0" style="67" hidden="1" customWidth="1"/>
    <col min="9228" max="9472" width="11.453125" style="67"/>
    <col min="9473" max="9479" width="9.54296875" style="67" customWidth="1"/>
    <col min="9480" max="9480" width="10.81640625" style="67" customWidth="1"/>
    <col min="9481" max="9481" width="9.54296875" style="67" customWidth="1"/>
    <col min="9482" max="9483" width="0" style="67" hidden="1" customWidth="1"/>
    <col min="9484" max="9728" width="11.453125" style="67"/>
    <col min="9729" max="9735" width="9.54296875" style="67" customWidth="1"/>
    <col min="9736" max="9736" width="10.81640625" style="67" customWidth="1"/>
    <col min="9737" max="9737" width="9.54296875" style="67" customWidth="1"/>
    <col min="9738" max="9739" width="0" style="67" hidden="1" customWidth="1"/>
    <col min="9740" max="9984" width="11.453125" style="67"/>
    <col min="9985" max="9991" width="9.54296875" style="67" customWidth="1"/>
    <col min="9992" max="9992" width="10.81640625" style="67" customWidth="1"/>
    <col min="9993" max="9993" width="9.54296875" style="67" customWidth="1"/>
    <col min="9994" max="9995" width="0" style="67" hidden="1" customWidth="1"/>
    <col min="9996" max="10240" width="11.453125" style="67"/>
    <col min="10241" max="10247" width="9.54296875" style="67" customWidth="1"/>
    <col min="10248" max="10248" width="10.81640625" style="67" customWidth="1"/>
    <col min="10249" max="10249" width="9.54296875" style="67" customWidth="1"/>
    <col min="10250" max="10251" width="0" style="67" hidden="1" customWidth="1"/>
    <col min="10252" max="10496" width="11.453125" style="67"/>
    <col min="10497" max="10503" width="9.54296875" style="67" customWidth="1"/>
    <col min="10504" max="10504" width="10.81640625" style="67" customWidth="1"/>
    <col min="10505" max="10505" width="9.54296875" style="67" customWidth="1"/>
    <col min="10506" max="10507" width="0" style="67" hidden="1" customWidth="1"/>
    <col min="10508" max="10752" width="11.453125" style="67"/>
    <col min="10753" max="10759" width="9.54296875" style="67" customWidth="1"/>
    <col min="10760" max="10760" width="10.81640625" style="67" customWidth="1"/>
    <col min="10761" max="10761" width="9.54296875" style="67" customWidth="1"/>
    <col min="10762" max="10763" width="0" style="67" hidden="1" customWidth="1"/>
    <col min="10764" max="11008" width="11.453125" style="67"/>
    <col min="11009" max="11015" width="9.54296875" style="67" customWidth="1"/>
    <col min="11016" max="11016" width="10.81640625" style="67" customWidth="1"/>
    <col min="11017" max="11017" width="9.54296875" style="67" customWidth="1"/>
    <col min="11018" max="11019" width="0" style="67" hidden="1" customWidth="1"/>
    <col min="11020" max="11264" width="11.453125" style="67"/>
    <col min="11265" max="11271" width="9.54296875" style="67" customWidth="1"/>
    <col min="11272" max="11272" width="10.81640625" style="67" customWidth="1"/>
    <col min="11273" max="11273" width="9.54296875" style="67" customWidth="1"/>
    <col min="11274" max="11275" width="0" style="67" hidden="1" customWidth="1"/>
    <col min="11276" max="11520" width="11.453125" style="67"/>
    <col min="11521" max="11527" width="9.54296875" style="67" customWidth="1"/>
    <col min="11528" max="11528" width="10.81640625" style="67" customWidth="1"/>
    <col min="11529" max="11529" width="9.54296875" style="67" customWidth="1"/>
    <col min="11530" max="11531" width="0" style="67" hidden="1" customWidth="1"/>
    <col min="11532" max="11776" width="11.453125" style="67"/>
    <col min="11777" max="11783" width="9.54296875" style="67" customWidth="1"/>
    <col min="11784" max="11784" width="10.81640625" style="67" customWidth="1"/>
    <col min="11785" max="11785" width="9.54296875" style="67" customWidth="1"/>
    <col min="11786" max="11787" width="0" style="67" hidden="1" customWidth="1"/>
    <col min="11788" max="12032" width="11.453125" style="67"/>
    <col min="12033" max="12039" width="9.54296875" style="67" customWidth="1"/>
    <col min="12040" max="12040" width="10.81640625" style="67" customWidth="1"/>
    <col min="12041" max="12041" width="9.54296875" style="67" customWidth="1"/>
    <col min="12042" max="12043" width="0" style="67" hidden="1" customWidth="1"/>
    <col min="12044" max="12288" width="11.453125" style="67"/>
    <col min="12289" max="12295" width="9.54296875" style="67" customWidth="1"/>
    <col min="12296" max="12296" width="10.81640625" style="67" customWidth="1"/>
    <col min="12297" max="12297" width="9.54296875" style="67" customWidth="1"/>
    <col min="12298" max="12299" width="0" style="67" hidden="1" customWidth="1"/>
    <col min="12300" max="12544" width="11.453125" style="67"/>
    <col min="12545" max="12551" width="9.54296875" style="67" customWidth="1"/>
    <col min="12552" max="12552" width="10.81640625" style="67" customWidth="1"/>
    <col min="12553" max="12553" width="9.54296875" style="67" customWidth="1"/>
    <col min="12554" max="12555" width="0" style="67" hidden="1" customWidth="1"/>
    <col min="12556" max="12800" width="11.453125" style="67"/>
    <col min="12801" max="12807" width="9.54296875" style="67" customWidth="1"/>
    <col min="12808" max="12808" width="10.81640625" style="67" customWidth="1"/>
    <col min="12809" max="12809" width="9.54296875" style="67" customWidth="1"/>
    <col min="12810" max="12811" width="0" style="67" hidden="1" customWidth="1"/>
    <col min="12812" max="13056" width="11.453125" style="67"/>
    <col min="13057" max="13063" width="9.54296875" style="67" customWidth="1"/>
    <col min="13064" max="13064" width="10.81640625" style="67" customWidth="1"/>
    <col min="13065" max="13065" width="9.54296875" style="67" customWidth="1"/>
    <col min="13066" max="13067" width="0" style="67" hidden="1" customWidth="1"/>
    <col min="13068" max="13312" width="11.453125" style="67"/>
    <col min="13313" max="13319" width="9.54296875" style="67" customWidth="1"/>
    <col min="13320" max="13320" width="10.81640625" style="67" customWidth="1"/>
    <col min="13321" max="13321" width="9.54296875" style="67" customWidth="1"/>
    <col min="13322" max="13323" width="0" style="67" hidden="1" customWidth="1"/>
    <col min="13324" max="13568" width="11.453125" style="67"/>
    <col min="13569" max="13575" width="9.54296875" style="67" customWidth="1"/>
    <col min="13576" max="13576" width="10.81640625" style="67" customWidth="1"/>
    <col min="13577" max="13577" width="9.54296875" style="67" customWidth="1"/>
    <col min="13578" max="13579" width="0" style="67" hidden="1" customWidth="1"/>
    <col min="13580" max="13824" width="11.453125" style="67"/>
    <col min="13825" max="13831" width="9.54296875" style="67" customWidth="1"/>
    <col min="13832" max="13832" width="10.81640625" style="67" customWidth="1"/>
    <col min="13833" max="13833" width="9.54296875" style="67" customWidth="1"/>
    <col min="13834" max="13835" width="0" style="67" hidden="1" customWidth="1"/>
    <col min="13836" max="14080" width="11.453125" style="67"/>
    <col min="14081" max="14087" width="9.54296875" style="67" customWidth="1"/>
    <col min="14088" max="14088" width="10.81640625" style="67" customWidth="1"/>
    <col min="14089" max="14089" width="9.54296875" style="67" customWidth="1"/>
    <col min="14090" max="14091" width="0" style="67" hidden="1" customWidth="1"/>
    <col min="14092" max="14336" width="11.453125" style="67"/>
    <col min="14337" max="14343" width="9.54296875" style="67" customWidth="1"/>
    <col min="14344" max="14344" width="10.81640625" style="67" customWidth="1"/>
    <col min="14345" max="14345" width="9.54296875" style="67" customWidth="1"/>
    <col min="14346" max="14347" width="0" style="67" hidden="1" customWidth="1"/>
    <col min="14348" max="14592" width="11.453125" style="67"/>
    <col min="14593" max="14599" width="9.54296875" style="67" customWidth="1"/>
    <col min="14600" max="14600" width="10.81640625" style="67" customWidth="1"/>
    <col min="14601" max="14601" width="9.54296875" style="67" customWidth="1"/>
    <col min="14602" max="14603" width="0" style="67" hidden="1" customWidth="1"/>
    <col min="14604" max="14848" width="11.453125" style="67"/>
    <col min="14849" max="14855" width="9.54296875" style="67" customWidth="1"/>
    <col min="14856" max="14856" width="10.81640625" style="67" customWidth="1"/>
    <col min="14857" max="14857" width="9.54296875" style="67" customWidth="1"/>
    <col min="14858" max="14859" width="0" style="67" hidden="1" customWidth="1"/>
    <col min="14860" max="15104" width="11.453125" style="67"/>
    <col min="15105" max="15111" width="9.54296875" style="67" customWidth="1"/>
    <col min="15112" max="15112" width="10.81640625" style="67" customWidth="1"/>
    <col min="15113" max="15113" width="9.54296875" style="67" customWidth="1"/>
    <col min="15114" max="15115" width="0" style="67" hidden="1" customWidth="1"/>
    <col min="15116" max="15360" width="11.453125" style="67"/>
    <col min="15361" max="15367" width="9.54296875" style="67" customWidth="1"/>
    <col min="15368" max="15368" width="10.81640625" style="67" customWidth="1"/>
    <col min="15369" max="15369" width="9.54296875" style="67" customWidth="1"/>
    <col min="15370" max="15371" width="0" style="67" hidden="1" customWidth="1"/>
    <col min="15372" max="15616" width="11.453125" style="67"/>
    <col min="15617" max="15623" width="9.54296875" style="67" customWidth="1"/>
    <col min="15624" max="15624" width="10.81640625" style="67" customWidth="1"/>
    <col min="15625" max="15625" width="9.54296875" style="67" customWidth="1"/>
    <col min="15626" max="15627" width="0" style="67" hidden="1" customWidth="1"/>
    <col min="15628" max="15872" width="11.453125" style="67"/>
    <col min="15873" max="15879" width="9.54296875" style="67" customWidth="1"/>
    <col min="15880" max="15880" width="10.81640625" style="67" customWidth="1"/>
    <col min="15881" max="15881" width="9.54296875" style="67" customWidth="1"/>
    <col min="15882" max="15883" width="0" style="67" hidden="1" customWidth="1"/>
    <col min="15884" max="16128" width="11.453125" style="67"/>
    <col min="16129" max="16135" width="9.54296875" style="67" customWidth="1"/>
    <col min="16136" max="16136" width="10.81640625" style="67" customWidth="1"/>
    <col min="16137" max="16137" width="9.54296875" style="67" customWidth="1"/>
    <col min="16138" max="16139" width="0" style="67" hidden="1" customWidth="1"/>
    <col min="16140" max="16384" width="11.453125" style="67"/>
  </cols>
  <sheetData>
    <row r="1" spans="1:11" ht="14" x14ac:dyDescent="0.3">
      <c r="A1" s="6" t="s">
        <v>48</v>
      </c>
      <c r="B1" s="7"/>
      <c r="C1" s="8"/>
      <c r="D1" s="8"/>
      <c r="E1" s="8"/>
      <c r="F1" s="8"/>
      <c r="G1" s="8"/>
      <c r="H1" s="8"/>
      <c r="I1" s="9"/>
      <c r="J1" s="8"/>
      <c r="K1" s="8"/>
    </row>
    <row r="2" spans="1:11" x14ac:dyDescent="0.25">
      <c r="A2" s="10"/>
      <c r="B2" s="11"/>
      <c r="C2" s="12"/>
      <c r="D2" s="12"/>
      <c r="E2" s="12"/>
      <c r="F2" s="12"/>
      <c r="G2" s="12"/>
      <c r="H2" s="12"/>
      <c r="I2" s="13"/>
      <c r="J2" s="12"/>
      <c r="K2" s="12"/>
    </row>
    <row r="3" spans="1:11" x14ac:dyDescent="0.25">
      <c r="A3" s="14" t="s">
        <v>49</v>
      </c>
      <c r="B3" s="15"/>
      <c r="C3" s="16"/>
      <c r="D3" s="16"/>
      <c r="E3" s="16"/>
      <c r="F3" s="16"/>
      <c r="G3" s="16"/>
      <c r="H3" s="16"/>
      <c r="I3" s="17"/>
      <c r="J3" s="16"/>
      <c r="K3" s="16"/>
    </row>
    <row r="4" spans="1:11" x14ac:dyDescent="0.25">
      <c r="A4" s="18"/>
      <c r="B4" s="19"/>
      <c r="C4" s="20"/>
      <c r="D4" s="20"/>
      <c r="E4" s="20"/>
      <c r="F4" s="20"/>
      <c r="G4" s="20" t="s">
        <v>35</v>
      </c>
      <c r="H4" s="20" t="s">
        <v>35</v>
      </c>
      <c r="I4" s="20" t="s">
        <v>36</v>
      </c>
      <c r="J4" s="21" t="s">
        <v>37</v>
      </c>
      <c r="K4" s="21" t="s">
        <v>38</v>
      </c>
    </row>
    <row r="5" spans="1:11" x14ac:dyDescent="0.25">
      <c r="A5" s="22"/>
      <c r="B5" s="23" t="s">
        <v>39</v>
      </c>
      <c r="C5" s="24" t="s">
        <v>40</v>
      </c>
      <c r="D5" s="25" t="s">
        <v>41</v>
      </c>
      <c r="E5" s="25" t="s">
        <v>42</v>
      </c>
      <c r="F5" s="25" t="s">
        <v>43</v>
      </c>
      <c r="G5" s="25" t="s">
        <v>44</v>
      </c>
      <c r="H5" s="25" t="s">
        <v>45</v>
      </c>
      <c r="I5" s="25" t="s">
        <v>45</v>
      </c>
      <c r="J5" s="26" t="s">
        <v>46</v>
      </c>
      <c r="K5" s="26" t="s">
        <v>46</v>
      </c>
    </row>
    <row r="6" spans="1:11" x14ac:dyDescent="0.25">
      <c r="A6" s="27"/>
      <c r="B6" s="28"/>
      <c r="C6" s="29"/>
      <c r="D6" s="30"/>
      <c r="E6" s="30"/>
      <c r="F6" s="30"/>
      <c r="G6" s="30"/>
      <c r="H6" s="30"/>
      <c r="I6" s="30"/>
      <c r="J6" s="30"/>
      <c r="K6" s="30"/>
    </row>
    <row r="7" spans="1:11" hidden="1" x14ac:dyDescent="0.25">
      <c r="A7" s="31">
        <v>1986</v>
      </c>
      <c r="B7" s="32">
        <v>6097417</v>
      </c>
      <c r="C7" s="32">
        <v>738166</v>
      </c>
      <c r="D7" s="32">
        <v>237969</v>
      </c>
      <c r="E7" s="32"/>
      <c r="F7" s="32"/>
      <c r="G7" s="33">
        <f t="shared" ref="G7:G30" si="0">SUM(B7:D7)</f>
        <v>7073552</v>
      </c>
      <c r="H7" s="33"/>
      <c r="I7" s="33"/>
      <c r="J7" s="33"/>
      <c r="K7" s="33"/>
    </row>
    <row r="8" spans="1:11" x14ac:dyDescent="0.25">
      <c r="A8" s="31">
        <v>1987</v>
      </c>
      <c r="B8" s="32">
        <v>6660559</v>
      </c>
      <c r="C8" s="32">
        <v>774930</v>
      </c>
      <c r="D8" s="32">
        <v>340026</v>
      </c>
      <c r="E8" s="32"/>
      <c r="F8" s="32"/>
      <c r="G8" s="30">
        <f t="shared" si="0"/>
        <v>7775515</v>
      </c>
      <c r="H8" s="33">
        <v>63022000</v>
      </c>
      <c r="I8" s="35">
        <f t="shared" ref="I8:I40" si="1">G8/H8</f>
        <v>0.1233777887087049</v>
      </c>
      <c r="J8" s="33"/>
      <c r="K8" s="33"/>
    </row>
    <row r="9" spans="1:11" x14ac:dyDescent="0.25">
      <c r="A9" s="36">
        <v>1988</v>
      </c>
      <c r="B9" s="37">
        <v>7234022</v>
      </c>
      <c r="C9" s="37">
        <v>725587</v>
      </c>
      <c r="D9" s="37">
        <v>391015</v>
      </c>
      <c r="E9" s="37"/>
      <c r="F9" s="37"/>
      <c r="G9" s="38">
        <f t="shared" si="0"/>
        <v>8350624</v>
      </c>
      <c r="H9" s="39">
        <v>68322000</v>
      </c>
      <c r="I9" s="40">
        <f t="shared" si="1"/>
        <v>0.12222452504317789</v>
      </c>
      <c r="J9" s="35">
        <f t="shared" ref="J9:K25" si="2">(G9-G8)/G8</f>
        <v>7.3964103985395185E-2</v>
      </c>
      <c r="K9" s="35">
        <f t="shared" si="2"/>
        <v>8.4097616705277517E-2</v>
      </c>
    </row>
    <row r="10" spans="1:11" x14ac:dyDescent="0.25">
      <c r="A10" s="31">
        <v>1989</v>
      </c>
      <c r="B10" s="32">
        <v>8146000</v>
      </c>
      <c r="C10" s="32">
        <v>617000</v>
      </c>
      <c r="D10" s="32">
        <v>276473</v>
      </c>
      <c r="E10" s="32"/>
      <c r="F10" s="32"/>
      <c r="G10" s="30">
        <f t="shared" si="0"/>
        <v>9039473</v>
      </c>
      <c r="H10" s="33">
        <v>70772000</v>
      </c>
      <c r="I10" s="35">
        <f t="shared" si="1"/>
        <v>0.12772668569490758</v>
      </c>
      <c r="J10" s="35">
        <f t="shared" si="2"/>
        <v>8.249072165145982E-2</v>
      </c>
      <c r="K10" s="35">
        <f t="shared" si="2"/>
        <v>3.5859605983431402E-2</v>
      </c>
    </row>
    <row r="11" spans="1:11" x14ac:dyDescent="0.25">
      <c r="A11" s="36">
        <v>1990</v>
      </c>
      <c r="B11" s="37">
        <v>9041248</v>
      </c>
      <c r="C11" s="37">
        <v>402208</v>
      </c>
      <c r="D11" s="37">
        <v>89030</v>
      </c>
      <c r="E11" s="37"/>
      <c r="F11" s="37"/>
      <c r="G11" s="38">
        <f t="shared" si="0"/>
        <v>9532486</v>
      </c>
      <c r="H11" s="39">
        <v>73369014</v>
      </c>
      <c r="I11" s="40">
        <f t="shared" si="1"/>
        <v>0.12992522974344456</v>
      </c>
      <c r="J11" s="35">
        <f t="shared" si="2"/>
        <v>5.4540015773043404E-2</v>
      </c>
      <c r="K11" s="35">
        <f t="shared" si="2"/>
        <v>3.6695501045611256E-2</v>
      </c>
    </row>
    <row r="12" spans="1:11" x14ac:dyDescent="0.25">
      <c r="A12" s="31">
        <v>1991</v>
      </c>
      <c r="B12" s="32">
        <v>8961234</v>
      </c>
      <c r="C12" s="32">
        <v>283588</v>
      </c>
      <c r="D12" s="32">
        <v>91730</v>
      </c>
      <c r="E12" s="32"/>
      <c r="F12" s="32"/>
      <c r="G12" s="30">
        <f t="shared" si="0"/>
        <v>9336552</v>
      </c>
      <c r="H12" s="33">
        <v>76231803</v>
      </c>
      <c r="I12" s="35">
        <f t="shared" si="1"/>
        <v>0.1224758123587868</v>
      </c>
      <c r="J12" s="35">
        <f t="shared" si="2"/>
        <v>-2.0554344375643456E-2</v>
      </c>
      <c r="K12" s="35">
        <f t="shared" si="2"/>
        <v>3.9019046923541863E-2</v>
      </c>
    </row>
    <row r="13" spans="1:11" x14ac:dyDescent="0.25">
      <c r="A13" s="36">
        <v>1992</v>
      </c>
      <c r="B13" s="37">
        <v>10036210</v>
      </c>
      <c r="C13" s="37">
        <v>286957</v>
      </c>
      <c r="D13" s="37">
        <v>99994</v>
      </c>
      <c r="E13" s="37"/>
      <c r="F13" s="37"/>
      <c r="G13" s="38">
        <f t="shared" si="0"/>
        <v>10423161</v>
      </c>
      <c r="H13" s="39">
        <v>82672214</v>
      </c>
      <c r="I13" s="40">
        <f t="shared" si="1"/>
        <v>0.1260781645451034</v>
      </c>
      <c r="J13" s="35">
        <f t="shared" si="2"/>
        <v>0.11638225760430618</v>
      </c>
      <c r="K13" s="35">
        <f t="shared" si="2"/>
        <v>8.4484568730454929E-2</v>
      </c>
    </row>
    <row r="14" spans="1:11" x14ac:dyDescent="0.25">
      <c r="A14" s="31">
        <v>1993</v>
      </c>
      <c r="B14" s="32">
        <v>9654140</v>
      </c>
      <c r="C14" s="32">
        <v>256057</v>
      </c>
      <c r="D14" s="32">
        <v>103136</v>
      </c>
      <c r="E14" s="32"/>
      <c r="F14" s="32"/>
      <c r="G14" s="30">
        <f t="shared" si="0"/>
        <v>10013333</v>
      </c>
      <c r="H14" s="33">
        <v>81409475</v>
      </c>
      <c r="I14" s="35">
        <f t="shared" si="1"/>
        <v>0.12299960170483841</v>
      </c>
      <c r="J14" s="35">
        <f t="shared" si="2"/>
        <v>-3.9318974349527941E-2</v>
      </c>
      <c r="K14" s="35">
        <f t="shared" si="2"/>
        <v>-1.5274043586155804E-2</v>
      </c>
    </row>
    <row r="15" spans="1:11" x14ac:dyDescent="0.25">
      <c r="A15" s="36">
        <v>1994</v>
      </c>
      <c r="B15" s="37">
        <v>10296695</v>
      </c>
      <c r="C15" s="37">
        <v>373334</v>
      </c>
      <c r="D15" s="37">
        <v>315305</v>
      </c>
      <c r="E15" s="37"/>
      <c r="F15" s="37"/>
      <c r="G15" s="38">
        <f t="shared" si="0"/>
        <v>10985334</v>
      </c>
      <c r="H15" s="39">
        <v>89497927</v>
      </c>
      <c r="I15" s="40">
        <f t="shared" si="1"/>
        <v>0.12274400500918865</v>
      </c>
      <c r="J15" s="35">
        <f t="shared" si="2"/>
        <v>9.7070675668131684E-2</v>
      </c>
      <c r="K15" s="35">
        <f t="shared" si="2"/>
        <v>9.9355167196447339E-2</v>
      </c>
    </row>
    <row r="16" spans="1:11" x14ac:dyDescent="0.25">
      <c r="A16" s="31">
        <v>1995</v>
      </c>
      <c r="B16" s="32">
        <v>11313388</v>
      </c>
      <c r="C16" s="32">
        <v>524338</v>
      </c>
      <c r="D16" s="32">
        <v>474783</v>
      </c>
      <c r="E16" s="32"/>
      <c r="F16" s="32"/>
      <c r="G16" s="30">
        <f t="shared" si="0"/>
        <v>12312509</v>
      </c>
      <c r="H16" s="33">
        <v>95432488</v>
      </c>
      <c r="I16" s="35">
        <f t="shared" si="1"/>
        <v>0.12901800275813829</v>
      </c>
      <c r="J16" s="35">
        <f t="shared" si="2"/>
        <v>0.12081334987174719</v>
      </c>
      <c r="K16" s="35">
        <f t="shared" si="2"/>
        <v>6.6309479994994744E-2</v>
      </c>
    </row>
    <row r="17" spans="1:11" x14ac:dyDescent="0.25">
      <c r="A17" s="36">
        <v>1996</v>
      </c>
      <c r="B17" s="37">
        <v>12918697</v>
      </c>
      <c r="C17" s="37">
        <v>454962</v>
      </c>
      <c r="D17" s="37">
        <v>450428</v>
      </c>
      <c r="E17" s="37"/>
      <c r="F17" s="37"/>
      <c r="G17" s="38">
        <f t="shared" si="0"/>
        <v>13824087</v>
      </c>
      <c r="H17" s="39">
        <v>100711101</v>
      </c>
      <c r="I17" s="40">
        <f t="shared" si="1"/>
        <v>0.13726477878540916</v>
      </c>
      <c r="J17" s="35">
        <f t="shared" si="2"/>
        <v>0.12276766660637568</v>
      </c>
      <c r="K17" s="35">
        <f t="shared" si="2"/>
        <v>5.531253675373108E-2</v>
      </c>
    </row>
    <row r="18" spans="1:11" x14ac:dyDescent="0.25">
      <c r="A18" s="31">
        <v>1997</v>
      </c>
      <c r="B18" s="32">
        <v>14562498</v>
      </c>
      <c r="C18" s="32">
        <v>506924</v>
      </c>
      <c r="D18" s="32">
        <v>517736</v>
      </c>
      <c r="E18" s="32"/>
      <c r="F18" s="32"/>
      <c r="G18" s="30">
        <f t="shared" si="0"/>
        <v>15587158</v>
      </c>
      <c r="H18" s="33">
        <v>108652483</v>
      </c>
      <c r="I18" s="35">
        <f t="shared" si="1"/>
        <v>0.14345882919215017</v>
      </c>
      <c r="J18" s="35">
        <f t="shared" si="2"/>
        <v>0.12753616206263749</v>
      </c>
      <c r="K18" s="35">
        <f t="shared" si="2"/>
        <v>7.8853094853962524E-2</v>
      </c>
    </row>
    <row r="19" spans="1:11" x14ac:dyDescent="0.25">
      <c r="A19" s="36">
        <v>1998</v>
      </c>
      <c r="B19" s="37">
        <v>15746291</v>
      </c>
      <c r="C19" s="37">
        <v>585734</v>
      </c>
      <c r="D19" s="37">
        <v>556446</v>
      </c>
      <c r="E19" s="37"/>
      <c r="F19" s="37"/>
      <c r="G19" s="38">
        <f t="shared" si="0"/>
        <v>16888471</v>
      </c>
      <c r="H19" s="39">
        <v>116369633</v>
      </c>
      <c r="I19" s="40">
        <f t="shared" si="1"/>
        <v>0.14512781869819938</v>
      </c>
      <c r="J19" s="35">
        <f t="shared" si="2"/>
        <v>8.3486226289616106E-2</v>
      </c>
      <c r="K19" s="35">
        <f t="shared" si="2"/>
        <v>7.1025988425869657E-2</v>
      </c>
    </row>
    <row r="20" spans="1:11" x14ac:dyDescent="0.25">
      <c r="A20" s="31">
        <v>1999</v>
      </c>
      <c r="B20" s="32">
        <v>17128668</v>
      </c>
      <c r="C20" s="32">
        <v>606411</v>
      </c>
      <c r="D20" s="32">
        <v>617419</v>
      </c>
      <c r="E20" s="32"/>
      <c r="F20" s="32"/>
      <c r="G20" s="30">
        <f t="shared" si="0"/>
        <v>18352498</v>
      </c>
      <c r="H20" s="33">
        <v>126693764</v>
      </c>
      <c r="I20" s="35">
        <f t="shared" si="1"/>
        <v>0.14485715334813165</v>
      </c>
      <c r="J20" s="35">
        <f t="shared" si="2"/>
        <v>8.6687954167076461E-2</v>
      </c>
      <c r="K20" s="35">
        <f t="shared" si="2"/>
        <v>8.871842880178199E-2</v>
      </c>
    </row>
    <row r="21" spans="1:11" x14ac:dyDescent="0.25">
      <c r="A21" s="36">
        <v>2000</v>
      </c>
      <c r="B21" s="37">
        <v>19375338</v>
      </c>
      <c r="C21" s="37">
        <v>627222</v>
      </c>
      <c r="D21" s="37">
        <v>686282</v>
      </c>
      <c r="E21" s="37"/>
      <c r="F21" s="37"/>
      <c r="G21" s="38">
        <f t="shared" si="0"/>
        <v>20688842</v>
      </c>
      <c r="H21" s="39">
        <v>138614266</v>
      </c>
      <c r="I21" s="40">
        <f t="shared" si="1"/>
        <v>0.14925478161100678</v>
      </c>
      <c r="J21" s="35">
        <f t="shared" si="2"/>
        <v>0.12730386893380943</v>
      </c>
      <c r="K21" s="35">
        <f t="shared" si="2"/>
        <v>9.4089098181659517E-2</v>
      </c>
    </row>
    <row r="22" spans="1:11" x14ac:dyDescent="0.25">
      <c r="A22" s="31">
        <v>2001</v>
      </c>
      <c r="B22" s="32">
        <v>20545680</v>
      </c>
      <c r="C22" s="32">
        <v>602488</v>
      </c>
      <c r="D22" s="32">
        <v>733033</v>
      </c>
      <c r="E22" s="32"/>
      <c r="F22" s="32"/>
      <c r="G22" s="30">
        <f t="shared" si="0"/>
        <v>21881201</v>
      </c>
      <c r="H22" s="33">
        <v>142732204</v>
      </c>
      <c r="I22" s="35">
        <f t="shared" si="1"/>
        <v>0.15330248105746339</v>
      </c>
      <c r="J22" s="35">
        <f t="shared" si="2"/>
        <v>5.7632950167051396E-2</v>
      </c>
      <c r="K22" s="35">
        <f t="shared" si="2"/>
        <v>2.9707894568370041E-2</v>
      </c>
    </row>
    <row r="23" spans="1:11" x14ac:dyDescent="0.25">
      <c r="A23" s="36">
        <v>2002</v>
      </c>
      <c r="B23" s="37">
        <v>21168997</v>
      </c>
      <c r="C23" s="37">
        <v>534183</v>
      </c>
      <c r="D23" s="37">
        <v>753504</v>
      </c>
      <c r="E23" s="37"/>
      <c r="F23" s="37"/>
      <c r="G23" s="38">
        <f t="shared" si="0"/>
        <v>22456684</v>
      </c>
      <c r="H23" s="39">
        <v>141239896</v>
      </c>
      <c r="I23" s="40">
        <f t="shared" si="1"/>
        <v>0.15899674692482074</v>
      </c>
      <c r="J23" s="35">
        <f t="shared" si="2"/>
        <v>2.630033881595439E-2</v>
      </c>
      <c r="K23" s="35">
        <f t="shared" si="2"/>
        <v>-1.0455299912555123E-2</v>
      </c>
    </row>
    <row r="24" spans="1:11" x14ac:dyDescent="0.25">
      <c r="A24" s="31">
        <v>2003</v>
      </c>
      <c r="B24" s="32">
        <v>22541624</v>
      </c>
      <c r="C24" s="32">
        <v>1427885</v>
      </c>
      <c r="D24" s="32">
        <v>837563</v>
      </c>
      <c r="E24" s="32"/>
      <c r="F24" s="32"/>
      <c r="G24" s="30">
        <f t="shared" si="0"/>
        <v>24807072</v>
      </c>
      <c r="H24" s="33">
        <v>151739429</v>
      </c>
      <c r="I24" s="35">
        <f t="shared" si="1"/>
        <v>0.16348468004318112</v>
      </c>
      <c r="J24" s="35">
        <f t="shared" si="2"/>
        <v>0.10466318179478323</v>
      </c>
      <c r="K24" s="35">
        <f t="shared" si="2"/>
        <v>7.4338294613301048E-2</v>
      </c>
    </row>
    <row r="25" spans="1:11" x14ac:dyDescent="0.25">
      <c r="A25" s="36">
        <v>2004</v>
      </c>
      <c r="B25" s="37">
        <v>24363294</v>
      </c>
      <c r="C25" s="37">
        <v>2936529</v>
      </c>
      <c r="D25" s="37">
        <v>1127170</v>
      </c>
      <c r="E25" s="37"/>
      <c r="F25" s="37"/>
      <c r="G25" s="38">
        <f t="shared" si="0"/>
        <v>28426993</v>
      </c>
      <c r="H25" s="39">
        <v>163888517</v>
      </c>
      <c r="I25" s="40">
        <f t="shared" si="1"/>
        <v>0.17345323223591072</v>
      </c>
      <c r="J25" s="35">
        <f t="shared" si="2"/>
        <v>0.14592294487636429</v>
      </c>
      <c r="K25" s="35">
        <f t="shared" si="2"/>
        <v>8.0065465384082865E-2</v>
      </c>
    </row>
    <row r="26" spans="1:11" x14ac:dyDescent="0.25">
      <c r="A26" s="31">
        <v>2005</v>
      </c>
      <c r="B26" s="32">
        <v>26941215</v>
      </c>
      <c r="C26" s="32">
        <v>3513612</v>
      </c>
      <c r="D26" s="32">
        <v>1351608</v>
      </c>
      <c r="E26" s="32"/>
      <c r="F26" s="32"/>
      <c r="G26" s="30">
        <f t="shared" si="0"/>
        <v>31806435</v>
      </c>
      <c r="H26" s="33">
        <v>179047362</v>
      </c>
      <c r="I26" s="35">
        <f t="shared" si="1"/>
        <v>0.17764257816878642</v>
      </c>
      <c r="J26" s="35">
        <f t="shared" ref="J26:K31" si="3">(G26-G25)/G25</f>
        <v>0.11888144482956745</v>
      </c>
      <c r="K26" s="35">
        <f t="shared" si="3"/>
        <v>9.2494857342567807E-2</v>
      </c>
    </row>
    <row r="27" spans="1:11" x14ac:dyDescent="0.25">
      <c r="A27" s="36">
        <v>2006</v>
      </c>
      <c r="B27" s="37">
        <v>30008302</v>
      </c>
      <c r="C27" s="37">
        <v>3614254</v>
      </c>
      <c r="D27" s="37">
        <v>1380267</v>
      </c>
      <c r="E27" s="37"/>
      <c r="F27" s="37"/>
      <c r="G27" s="38">
        <f t="shared" si="0"/>
        <v>35002823</v>
      </c>
      <c r="H27" s="39">
        <v>193553178</v>
      </c>
      <c r="I27" s="40">
        <f t="shared" si="1"/>
        <v>0.18084344241560321</v>
      </c>
      <c r="J27" s="35">
        <f t="shared" si="3"/>
        <v>0.10049500989343824</v>
      </c>
      <c r="K27" s="35">
        <f t="shared" si="3"/>
        <v>8.1016641842508688E-2</v>
      </c>
    </row>
    <row r="28" spans="1:11" x14ac:dyDescent="0.25">
      <c r="A28" s="31">
        <v>2007</v>
      </c>
      <c r="B28" s="32">
        <v>32898249</v>
      </c>
      <c r="C28" s="32">
        <v>4848604</v>
      </c>
      <c r="D28" s="32">
        <v>1306785</v>
      </c>
      <c r="E28" s="32"/>
      <c r="F28" s="32"/>
      <c r="G28" s="30">
        <f t="shared" si="0"/>
        <v>39053638</v>
      </c>
      <c r="H28" s="33">
        <v>210498760</v>
      </c>
      <c r="I28" s="35">
        <f t="shared" si="1"/>
        <v>0.18552906439923922</v>
      </c>
      <c r="J28" s="35">
        <f t="shared" si="3"/>
        <v>0.11572823711961747</v>
      </c>
      <c r="K28" s="35">
        <f t="shared" si="3"/>
        <v>8.7550006541354752E-2</v>
      </c>
    </row>
    <row r="29" spans="1:11" x14ac:dyDescent="0.25">
      <c r="A29" s="36">
        <v>2008</v>
      </c>
      <c r="B29" s="37">
        <v>30272084</v>
      </c>
      <c r="C29" s="37">
        <v>5510970</v>
      </c>
      <c r="D29" s="37">
        <v>1278074</v>
      </c>
      <c r="E29" s="37"/>
      <c r="F29" s="37"/>
      <c r="G29" s="38">
        <f t="shared" si="0"/>
        <v>37061128</v>
      </c>
      <c r="H29" s="39">
        <v>203862028</v>
      </c>
      <c r="I29" s="40">
        <f t="shared" si="1"/>
        <v>0.18179515019834885</v>
      </c>
      <c r="J29" s="35">
        <f t="shared" si="3"/>
        <v>-5.1019830726141316E-2</v>
      </c>
      <c r="K29" s="35">
        <f t="shared" si="3"/>
        <v>-3.1528603778948623E-2</v>
      </c>
    </row>
    <row r="30" spans="1:11" x14ac:dyDescent="0.25">
      <c r="A30" s="31">
        <v>2009</v>
      </c>
      <c r="B30" s="32">
        <v>27311765</v>
      </c>
      <c r="C30" s="32">
        <v>5286975</v>
      </c>
      <c r="D30" s="32">
        <v>1706609</v>
      </c>
      <c r="E30" s="32"/>
      <c r="F30" s="32"/>
      <c r="G30" s="30">
        <f t="shared" si="0"/>
        <v>34305349</v>
      </c>
      <c r="H30" s="33">
        <v>187349814</v>
      </c>
      <c r="I30" s="35">
        <f t="shared" si="1"/>
        <v>0.18310852980083556</v>
      </c>
      <c r="J30" s="35">
        <f t="shared" si="3"/>
        <v>-7.4357666609607784E-2</v>
      </c>
      <c r="K30" s="35">
        <f t="shared" si="3"/>
        <v>-8.0997006465568955E-2</v>
      </c>
    </row>
    <row r="31" spans="1:11" x14ac:dyDescent="0.25">
      <c r="A31" s="36">
        <v>2010</v>
      </c>
      <c r="B31" s="37">
        <v>29209595</v>
      </c>
      <c r="C31" s="37">
        <v>4863785</v>
      </c>
      <c r="D31" s="37">
        <v>1421341</v>
      </c>
      <c r="E31" s="37"/>
      <c r="F31" s="37">
        <v>56135</v>
      </c>
      <c r="G31" s="38">
        <f>SUM(B31:F31)</f>
        <v>35550856</v>
      </c>
      <c r="H31" s="39">
        <v>192787860</v>
      </c>
      <c r="I31" s="40">
        <f t="shared" si="1"/>
        <v>0.18440401797084111</v>
      </c>
      <c r="J31" s="35">
        <f t="shared" si="3"/>
        <v>3.6306495526397357E-2</v>
      </c>
      <c r="K31" s="35">
        <f t="shared" si="3"/>
        <v>2.9026161723331095E-2</v>
      </c>
    </row>
    <row r="32" spans="1:11" x14ac:dyDescent="0.25">
      <c r="A32" s="31">
        <v>2011</v>
      </c>
      <c r="B32" s="32">
        <v>34398226</v>
      </c>
      <c r="C32" s="32">
        <v>3007977</v>
      </c>
      <c r="D32" s="32">
        <v>1362683</v>
      </c>
      <c r="E32" s="32"/>
      <c r="F32" s="32"/>
      <c r="G32" s="30">
        <f t="shared" ref="G32:G39" si="4">B32+C32+D32+F32</f>
        <v>38768886</v>
      </c>
      <c r="H32" s="33">
        <v>204386371</v>
      </c>
      <c r="I32" s="35">
        <f t="shared" si="1"/>
        <v>0.18968430140579187</v>
      </c>
      <c r="J32" s="35"/>
      <c r="K32" s="35"/>
    </row>
    <row r="33" spans="1:11" x14ac:dyDescent="0.25">
      <c r="A33" s="36">
        <v>2012</v>
      </c>
      <c r="B33" s="37">
        <v>35145184</v>
      </c>
      <c r="C33" s="37">
        <v>2844682</v>
      </c>
      <c r="D33" s="37">
        <v>937446</v>
      </c>
      <c r="E33" s="37"/>
      <c r="F33" s="37"/>
      <c r="G33" s="38">
        <f t="shared" si="4"/>
        <v>38927312</v>
      </c>
      <c r="H33" s="39">
        <v>194229665</v>
      </c>
      <c r="I33" s="40">
        <f t="shared" si="1"/>
        <v>0.20041898337208169</v>
      </c>
      <c r="J33" s="35"/>
      <c r="K33" s="35"/>
    </row>
    <row r="34" spans="1:11" x14ac:dyDescent="0.25">
      <c r="A34" s="31">
        <v>2013</v>
      </c>
      <c r="B34" s="32">
        <v>35210735</v>
      </c>
      <c r="C34" s="32">
        <v>2736867</v>
      </c>
      <c r="D34" s="32">
        <v>971166</v>
      </c>
      <c r="E34" s="32"/>
      <c r="F34" s="32">
        <v>29443</v>
      </c>
      <c r="G34" s="30">
        <f t="shared" si="4"/>
        <v>38948211</v>
      </c>
      <c r="H34" s="33">
        <f>187361347+F34</f>
        <v>187390790</v>
      </c>
      <c r="I34" s="35">
        <f t="shared" si="1"/>
        <v>0.20784485192682095</v>
      </c>
      <c r="J34" s="35"/>
      <c r="K34" s="35"/>
    </row>
    <row r="35" spans="1:11" x14ac:dyDescent="0.25">
      <c r="A35" s="36">
        <v>2014</v>
      </c>
      <c r="B35" s="37">
        <v>37559044</v>
      </c>
      <c r="C35" s="37">
        <v>2160646</v>
      </c>
      <c r="D35" s="37">
        <v>850648</v>
      </c>
      <c r="E35" s="37"/>
      <c r="F35" s="37">
        <v>31415</v>
      </c>
      <c r="G35" s="38">
        <f t="shared" si="4"/>
        <v>40601753</v>
      </c>
      <c r="H35" s="39">
        <f>195861278+F35</f>
        <v>195892693</v>
      </c>
      <c r="I35" s="40">
        <f t="shared" si="1"/>
        <v>0.20726527558636401</v>
      </c>
      <c r="J35" s="35"/>
      <c r="K35" s="35"/>
    </row>
    <row r="36" spans="1:11" x14ac:dyDescent="0.25">
      <c r="A36" s="31">
        <v>2015</v>
      </c>
      <c r="B36" s="32">
        <v>39711237</v>
      </c>
      <c r="C36" s="32">
        <v>1775326</v>
      </c>
      <c r="D36" s="32">
        <v>705038</v>
      </c>
      <c r="E36" s="32"/>
      <c r="F36" s="32">
        <v>28885</v>
      </c>
      <c r="G36" s="30">
        <f t="shared" si="4"/>
        <v>42220486</v>
      </c>
      <c r="H36" s="33">
        <f>207421046+F36</f>
        <v>207449931</v>
      </c>
      <c r="I36" s="35">
        <f t="shared" si="1"/>
        <v>0.20352133064821312</v>
      </c>
      <c r="J36" s="35"/>
      <c r="K36" s="35"/>
    </row>
    <row r="37" spans="1:11" x14ac:dyDescent="0.25">
      <c r="A37" s="36">
        <v>2016</v>
      </c>
      <c r="B37" s="37">
        <v>44154693</v>
      </c>
      <c r="C37" s="37">
        <v>1664763</v>
      </c>
      <c r="D37" s="37">
        <v>817611</v>
      </c>
      <c r="E37" s="37"/>
      <c r="F37" s="37">
        <v>32854</v>
      </c>
      <c r="G37" s="38">
        <f t="shared" si="4"/>
        <v>46669921</v>
      </c>
      <c r="H37" s="39">
        <f>230229523+F37</f>
        <v>230262377</v>
      </c>
      <c r="I37" s="40">
        <f t="shared" si="1"/>
        <v>0.20268148712805131</v>
      </c>
      <c r="J37" s="35"/>
      <c r="K37" s="35"/>
    </row>
    <row r="38" spans="1:11" x14ac:dyDescent="0.25">
      <c r="A38" s="42">
        <v>2017</v>
      </c>
      <c r="B38" s="43">
        <v>47284500</v>
      </c>
      <c r="C38" s="43">
        <v>1946816</v>
      </c>
      <c r="D38" s="43">
        <v>1022964</v>
      </c>
      <c r="E38" s="43"/>
      <c r="F38" s="43">
        <v>27052</v>
      </c>
      <c r="G38" s="44">
        <f t="shared" si="4"/>
        <v>50281332</v>
      </c>
      <c r="H38" s="45">
        <f>249223044+F38</f>
        <v>249250096</v>
      </c>
      <c r="I38" s="46">
        <f t="shared" si="1"/>
        <v>0.2017304418610936</v>
      </c>
      <c r="J38" s="35"/>
      <c r="K38" s="35"/>
    </row>
    <row r="39" spans="1:11" x14ac:dyDescent="0.25">
      <c r="A39" s="36">
        <v>2018</v>
      </c>
      <c r="B39" s="37">
        <v>50172457</v>
      </c>
      <c r="C39" s="37">
        <v>2019876</v>
      </c>
      <c r="D39" s="37">
        <v>1037576</v>
      </c>
      <c r="E39" s="37"/>
      <c r="F39" s="37">
        <v>44892</v>
      </c>
      <c r="G39" s="38">
        <f t="shared" si="4"/>
        <v>53274801</v>
      </c>
      <c r="H39" s="39">
        <f>263753406+F39</f>
        <v>263798298</v>
      </c>
      <c r="I39" s="40">
        <f t="shared" si="1"/>
        <v>0.20195278515405737</v>
      </c>
      <c r="J39" s="35"/>
      <c r="K39" s="35"/>
    </row>
    <row r="40" spans="1:11" x14ac:dyDescent="0.25">
      <c r="A40" s="47">
        <v>2019</v>
      </c>
      <c r="B40" s="48">
        <v>52688455</v>
      </c>
      <c r="C40" s="48">
        <v>1933049</v>
      </c>
      <c r="D40" s="48">
        <v>1046249</v>
      </c>
      <c r="E40" s="48">
        <v>5067</v>
      </c>
      <c r="F40" s="48">
        <v>58614</v>
      </c>
      <c r="G40" s="68">
        <f>SUM(B40:F40)</f>
        <v>55731434</v>
      </c>
      <c r="H40" s="49">
        <v>275247387</v>
      </c>
      <c r="I40" s="40">
        <f t="shared" si="1"/>
        <v>0.20247761334787895</v>
      </c>
      <c r="J40" s="35"/>
      <c r="K40" s="35"/>
    </row>
    <row r="41" spans="1:11" x14ac:dyDescent="0.25">
      <c r="A41" s="69"/>
      <c r="B41" s="70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5" customHeight="1" x14ac:dyDescent="0.3">
      <c r="A42" s="52" t="s">
        <v>47</v>
      </c>
      <c r="B42" s="28"/>
      <c r="C42" s="58"/>
      <c r="D42" s="58"/>
      <c r="E42" s="58"/>
      <c r="F42" s="58"/>
      <c r="G42" s="58"/>
      <c r="H42" s="58"/>
      <c r="I42" s="59"/>
      <c r="J42" s="58"/>
      <c r="K42" s="58"/>
    </row>
    <row r="43" spans="1:11" x14ac:dyDescent="0.25">
      <c r="A43" s="57"/>
      <c r="B43" s="28"/>
      <c r="C43" s="58"/>
      <c r="D43" s="58"/>
      <c r="E43" s="58"/>
      <c r="F43" s="58"/>
      <c r="G43" s="58"/>
      <c r="H43" s="58"/>
      <c r="I43" s="59"/>
      <c r="J43" s="58"/>
      <c r="K43" s="58"/>
    </row>
    <row r="44" spans="1:11" x14ac:dyDescent="0.25">
      <c r="F44" s="71"/>
    </row>
    <row r="45" spans="1:11" x14ac:dyDescent="0.25">
      <c r="F45" s="71"/>
    </row>
    <row r="47" spans="1:11" x14ac:dyDescent="0.25">
      <c r="F47" s="71"/>
    </row>
    <row r="48" spans="1:11" x14ac:dyDescent="0.25">
      <c r="E48" s="71"/>
      <c r="F48" s="71"/>
    </row>
  </sheetData>
  <pageMargins left="0.42" right="0.75" top="0.55118110236220474" bottom="0" header="0" footer="0"/>
  <pageSetup paperSize="9" orientation="portrait" r:id="rId1"/>
  <headerFooter alignWithMargins="0"/>
  <ignoredErrors>
    <ignoredError sqref="G8:G4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42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6" width="11.453125" style="67" customWidth="1"/>
    <col min="7" max="7" width="11.453125" style="72" customWidth="1"/>
    <col min="8" max="9" width="9.1796875" style="67" hidden="1" customWidth="1"/>
    <col min="10" max="256" width="11.453125" style="67"/>
    <col min="257" max="263" width="11.453125" style="67" customWidth="1"/>
    <col min="264" max="265" width="0" style="67" hidden="1" customWidth="1"/>
    <col min="266" max="512" width="11.453125" style="67"/>
    <col min="513" max="519" width="11.453125" style="67" customWidth="1"/>
    <col min="520" max="521" width="0" style="67" hidden="1" customWidth="1"/>
    <col min="522" max="768" width="11.453125" style="67"/>
    <col min="769" max="775" width="11.453125" style="67" customWidth="1"/>
    <col min="776" max="777" width="0" style="67" hidden="1" customWidth="1"/>
    <col min="778" max="1024" width="11.453125" style="67"/>
    <col min="1025" max="1031" width="11.453125" style="67" customWidth="1"/>
    <col min="1032" max="1033" width="0" style="67" hidden="1" customWidth="1"/>
    <col min="1034" max="1280" width="11.453125" style="67"/>
    <col min="1281" max="1287" width="11.453125" style="67" customWidth="1"/>
    <col min="1288" max="1289" width="0" style="67" hidden="1" customWidth="1"/>
    <col min="1290" max="1536" width="11.453125" style="67"/>
    <col min="1537" max="1543" width="11.453125" style="67" customWidth="1"/>
    <col min="1544" max="1545" width="0" style="67" hidden="1" customWidth="1"/>
    <col min="1546" max="1792" width="11.453125" style="67"/>
    <col min="1793" max="1799" width="11.453125" style="67" customWidth="1"/>
    <col min="1800" max="1801" width="0" style="67" hidden="1" customWidth="1"/>
    <col min="1802" max="2048" width="11.453125" style="67"/>
    <col min="2049" max="2055" width="11.453125" style="67" customWidth="1"/>
    <col min="2056" max="2057" width="0" style="67" hidden="1" customWidth="1"/>
    <col min="2058" max="2304" width="11.453125" style="67"/>
    <col min="2305" max="2311" width="11.453125" style="67" customWidth="1"/>
    <col min="2312" max="2313" width="0" style="67" hidden="1" customWidth="1"/>
    <col min="2314" max="2560" width="11.453125" style="67"/>
    <col min="2561" max="2567" width="11.453125" style="67" customWidth="1"/>
    <col min="2568" max="2569" width="0" style="67" hidden="1" customWidth="1"/>
    <col min="2570" max="2816" width="11.453125" style="67"/>
    <col min="2817" max="2823" width="11.453125" style="67" customWidth="1"/>
    <col min="2824" max="2825" width="0" style="67" hidden="1" customWidth="1"/>
    <col min="2826" max="3072" width="11.453125" style="67"/>
    <col min="3073" max="3079" width="11.453125" style="67" customWidth="1"/>
    <col min="3080" max="3081" width="0" style="67" hidden="1" customWidth="1"/>
    <col min="3082" max="3328" width="11.453125" style="67"/>
    <col min="3329" max="3335" width="11.453125" style="67" customWidth="1"/>
    <col min="3336" max="3337" width="0" style="67" hidden="1" customWidth="1"/>
    <col min="3338" max="3584" width="11.453125" style="67"/>
    <col min="3585" max="3591" width="11.453125" style="67" customWidth="1"/>
    <col min="3592" max="3593" width="0" style="67" hidden="1" customWidth="1"/>
    <col min="3594" max="3840" width="11.453125" style="67"/>
    <col min="3841" max="3847" width="11.453125" style="67" customWidth="1"/>
    <col min="3848" max="3849" width="0" style="67" hidden="1" customWidth="1"/>
    <col min="3850" max="4096" width="11.453125" style="67"/>
    <col min="4097" max="4103" width="11.453125" style="67" customWidth="1"/>
    <col min="4104" max="4105" width="0" style="67" hidden="1" customWidth="1"/>
    <col min="4106" max="4352" width="11.453125" style="67"/>
    <col min="4353" max="4359" width="11.453125" style="67" customWidth="1"/>
    <col min="4360" max="4361" width="0" style="67" hidden="1" customWidth="1"/>
    <col min="4362" max="4608" width="11.453125" style="67"/>
    <col min="4609" max="4615" width="11.453125" style="67" customWidth="1"/>
    <col min="4616" max="4617" width="0" style="67" hidden="1" customWidth="1"/>
    <col min="4618" max="4864" width="11.453125" style="67"/>
    <col min="4865" max="4871" width="11.453125" style="67" customWidth="1"/>
    <col min="4872" max="4873" width="0" style="67" hidden="1" customWidth="1"/>
    <col min="4874" max="5120" width="11.453125" style="67"/>
    <col min="5121" max="5127" width="11.453125" style="67" customWidth="1"/>
    <col min="5128" max="5129" width="0" style="67" hidden="1" customWidth="1"/>
    <col min="5130" max="5376" width="11.453125" style="67"/>
    <col min="5377" max="5383" width="11.453125" style="67" customWidth="1"/>
    <col min="5384" max="5385" width="0" style="67" hidden="1" customWidth="1"/>
    <col min="5386" max="5632" width="11.453125" style="67"/>
    <col min="5633" max="5639" width="11.453125" style="67" customWidth="1"/>
    <col min="5640" max="5641" width="0" style="67" hidden="1" customWidth="1"/>
    <col min="5642" max="5888" width="11.453125" style="67"/>
    <col min="5889" max="5895" width="11.453125" style="67" customWidth="1"/>
    <col min="5896" max="5897" width="0" style="67" hidden="1" customWidth="1"/>
    <col min="5898" max="6144" width="11.453125" style="67"/>
    <col min="6145" max="6151" width="11.453125" style="67" customWidth="1"/>
    <col min="6152" max="6153" width="0" style="67" hidden="1" customWidth="1"/>
    <col min="6154" max="6400" width="11.453125" style="67"/>
    <col min="6401" max="6407" width="11.453125" style="67" customWidth="1"/>
    <col min="6408" max="6409" width="0" style="67" hidden="1" customWidth="1"/>
    <col min="6410" max="6656" width="11.453125" style="67"/>
    <col min="6657" max="6663" width="11.453125" style="67" customWidth="1"/>
    <col min="6664" max="6665" width="0" style="67" hidden="1" customWidth="1"/>
    <col min="6666" max="6912" width="11.453125" style="67"/>
    <col min="6913" max="6919" width="11.453125" style="67" customWidth="1"/>
    <col min="6920" max="6921" width="0" style="67" hidden="1" customWidth="1"/>
    <col min="6922" max="7168" width="11.453125" style="67"/>
    <col min="7169" max="7175" width="11.453125" style="67" customWidth="1"/>
    <col min="7176" max="7177" width="0" style="67" hidden="1" customWidth="1"/>
    <col min="7178" max="7424" width="11.453125" style="67"/>
    <col min="7425" max="7431" width="11.453125" style="67" customWidth="1"/>
    <col min="7432" max="7433" width="0" style="67" hidden="1" customWidth="1"/>
    <col min="7434" max="7680" width="11.453125" style="67"/>
    <col min="7681" max="7687" width="11.453125" style="67" customWidth="1"/>
    <col min="7688" max="7689" width="0" style="67" hidden="1" customWidth="1"/>
    <col min="7690" max="7936" width="11.453125" style="67"/>
    <col min="7937" max="7943" width="11.453125" style="67" customWidth="1"/>
    <col min="7944" max="7945" width="0" style="67" hidden="1" customWidth="1"/>
    <col min="7946" max="8192" width="11.453125" style="67"/>
    <col min="8193" max="8199" width="11.453125" style="67" customWidth="1"/>
    <col min="8200" max="8201" width="0" style="67" hidden="1" customWidth="1"/>
    <col min="8202" max="8448" width="11.453125" style="67"/>
    <col min="8449" max="8455" width="11.453125" style="67" customWidth="1"/>
    <col min="8456" max="8457" width="0" style="67" hidden="1" customWidth="1"/>
    <col min="8458" max="8704" width="11.453125" style="67"/>
    <col min="8705" max="8711" width="11.453125" style="67" customWidth="1"/>
    <col min="8712" max="8713" width="0" style="67" hidden="1" customWidth="1"/>
    <col min="8714" max="8960" width="11.453125" style="67"/>
    <col min="8961" max="8967" width="11.453125" style="67" customWidth="1"/>
    <col min="8968" max="8969" width="0" style="67" hidden="1" customWidth="1"/>
    <col min="8970" max="9216" width="11.453125" style="67"/>
    <col min="9217" max="9223" width="11.453125" style="67" customWidth="1"/>
    <col min="9224" max="9225" width="0" style="67" hidden="1" customWidth="1"/>
    <col min="9226" max="9472" width="11.453125" style="67"/>
    <col min="9473" max="9479" width="11.453125" style="67" customWidth="1"/>
    <col min="9480" max="9481" width="0" style="67" hidden="1" customWidth="1"/>
    <col min="9482" max="9728" width="11.453125" style="67"/>
    <col min="9729" max="9735" width="11.453125" style="67" customWidth="1"/>
    <col min="9736" max="9737" width="0" style="67" hidden="1" customWidth="1"/>
    <col min="9738" max="9984" width="11.453125" style="67"/>
    <col min="9985" max="9991" width="11.453125" style="67" customWidth="1"/>
    <col min="9992" max="9993" width="0" style="67" hidden="1" customWidth="1"/>
    <col min="9994" max="10240" width="11.453125" style="67"/>
    <col min="10241" max="10247" width="11.453125" style="67" customWidth="1"/>
    <col min="10248" max="10249" width="0" style="67" hidden="1" customWidth="1"/>
    <col min="10250" max="10496" width="11.453125" style="67"/>
    <col min="10497" max="10503" width="11.453125" style="67" customWidth="1"/>
    <col min="10504" max="10505" width="0" style="67" hidden="1" customWidth="1"/>
    <col min="10506" max="10752" width="11.453125" style="67"/>
    <col min="10753" max="10759" width="11.453125" style="67" customWidth="1"/>
    <col min="10760" max="10761" width="0" style="67" hidden="1" customWidth="1"/>
    <col min="10762" max="11008" width="11.453125" style="67"/>
    <col min="11009" max="11015" width="11.453125" style="67" customWidth="1"/>
    <col min="11016" max="11017" width="0" style="67" hidden="1" customWidth="1"/>
    <col min="11018" max="11264" width="11.453125" style="67"/>
    <col min="11265" max="11271" width="11.453125" style="67" customWidth="1"/>
    <col min="11272" max="11273" width="0" style="67" hidden="1" customWidth="1"/>
    <col min="11274" max="11520" width="11.453125" style="67"/>
    <col min="11521" max="11527" width="11.453125" style="67" customWidth="1"/>
    <col min="11528" max="11529" width="0" style="67" hidden="1" customWidth="1"/>
    <col min="11530" max="11776" width="11.453125" style="67"/>
    <col min="11777" max="11783" width="11.453125" style="67" customWidth="1"/>
    <col min="11784" max="11785" width="0" style="67" hidden="1" customWidth="1"/>
    <col min="11786" max="12032" width="11.453125" style="67"/>
    <col min="12033" max="12039" width="11.453125" style="67" customWidth="1"/>
    <col min="12040" max="12041" width="0" style="67" hidden="1" customWidth="1"/>
    <col min="12042" max="12288" width="11.453125" style="67"/>
    <col min="12289" max="12295" width="11.453125" style="67" customWidth="1"/>
    <col min="12296" max="12297" width="0" style="67" hidden="1" customWidth="1"/>
    <col min="12298" max="12544" width="11.453125" style="67"/>
    <col min="12545" max="12551" width="11.453125" style="67" customWidth="1"/>
    <col min="12552" max="12553" width="0" style="67" hidden="1" customWidth="1"/>
    <col min="12554" max="12800" width="11.453125" style="67"/>
    <col min="12801" max="12807" width="11.453125" style="67" customWidth="1"/>
    <col min="12808" max="12809" width="0" style="67" hidden="1" customWidth="1"/>
    <col min="12810" max="13056" width="11.453125" style="67"/>
    <col min="13057" max="13063" width="11.453125" style="67" customWidth="1"/>
    <col min="13064" max="13065" width="0" style="67" hidden="1" customWidth="1"/>
    <col min="13066" max="13312" width="11.453125" style="67"/>
    <col min="13313" max="13319" width="11.453125" style="67" customWidth="1"/>
    <col min="13320" max="13321" width="0" style="67" hidden="1" customWidth="1"/>
    <col min="13322" max="13568" width="11.453125" style="67"/>
    <col min="13569" max="13575" width="11.453125" style="67" customWidth="1"/>
    <col min="13576" max="13577" width="0" style="67" hidden="1" customWidth="1"/>
    <col min="13578" max="13824" width="11.453125" style="67"/>
    <col min="13825" max="13831" width="11.453125" style="67" customWidth="1"/>
    <col min="13832" max="13833" width="0" style="67" hidden="1" customWidth="1"/>
    <col min="13834" max="14080" width="11.453125" style="67"/>
    <col min="14081" max="14087" width="11.453125" style="67" customWidth="1"/>
    <col min="14088" max="14089" width="0" style="67" hidden="1" customWidth="1"/>
    <col min="14090" max="14336" width="11.453125" style="67"/>
    <col min="14337" max="14343" width="11.453125" style="67" customWidth="1"/>
    <col min="14344" max="14345" width="0" style="67" hidden="1" customWidth="1"/>
    <col min="14346" max="14592" width="11.453125" style="67"/>
    <col min="14593" max="14599" width="11.453125" style="67" customWidth="1"/>
    <col min="14600" max="14601" width="0" style="67" hidden="1" customWidth="1"/>
    <col min="14602" max="14848" width="11.453125" style="67"/>
    <col min="14849" max="14855" width="11.453125" style="67" customWidth="1"/>
    <col min="14856" max="14857" width="0" style="67" hidden="1" customWidth="1"/>
    <col min="14858" max="15104" width="11.453125" style="67"/>
    <col min="15105" max="15111" width="11.453125" style="67" customWidth="1"/>
    <col min="15112" max="15113" width="0" style="67" hidden="1" customWidth="1"/>
    <col min="15114" max="15360" width="11.453125" style="67"/>
    <col min="15361" max="15367" width="11.453125" style="67" customWidth="1"/>
    <col min="15368" max="15369" width="0" style="67" hidden="1" customWidth="1"/>
    <col min="15370" max="15616" width="11.453125" style="67"/>
    <col min="15617" max="15623" width="11.453125" style="67" customWidth="1"/>
    <col min="15624" max="15625" width="0" style="67" hidden="1" customWidth="1"/>
    <col min="15626" max="15872" width="11.453125" style="67"/>
    <col min="15873" max="15879" width="11.453125" style="67" customWidth="1"/>
    <col min="15880" max="15881" width="0" style="67" hidden="1" customWidth="1"/>
    <col min="15882" max="16128" width="11.453125" style="67"/>
    <col min="16129" max="16135" width="11.453125" style="67" customWidth="1"/>
    <col min="16136" max="16137" width="0" style="67" hidden="1" customWidth="1"/>
    <col min="16138" max="16384" width="11.453125" style="67"/>
  </cols>
  <sheetData>
    <row r="1" spans="1:9" ht="14" x14ac:dyDescent="0.3">
      <c r="A1" s="6" t="s">
        <v>50</v>
      </c>
      <c r="B1" s="7"/>
      <c r="C1" s="8"/>
      <c r="D1" s="8"/>
      <c r="E1" s="8"/>
      <c r="F1" s="8"/>
      <c r="G1" s="9"/>
      <c r="H1" s="8"/>
      <c r="I1" s="8"/>
    </row>
    <row r="2" spans="1:9" x14ac:dyDescent="0.25">
      <c r="A2" s="10"/>
      <c r="B2" s="11"/>
      <c r="C2" s="12"/>
      <c r="D2" s="12"/>
      <c r="E2" s="12"/>
      <c r="F2" s="12"/>
      <c r="G2" s="13"/>
      <c r="H2" s="12"/>
      <c r="I2" s="12"/>
    </row>
    <row r="3" spans="1:9" x14ac:dyDescent="0.25">
      <c r="A3" s="14" t="s">
        <v>51</v>
      </c>
      <c r="B3" s="15"/>
      <c r="C3" s="16"/>
      <c r="D3" s="16"/>
      <c r="E3" s="16"/>
      <c r="F3" s="16"/>
      <c r="G3" s="17"/>
      <c r="H3" s="16"/>
      <c r="I3" s="16"/>
    </row>
    <row r="4" spans="1:9" x14ac:dyDescent="0.25">
      <c r="A4" s="18"/>
      <c r="B4" s="19"/>
      <c r="C4" s="20"/>
      <c r="D4" s="20"/>
      <c r="E4" s="20" t="s">
        <v>35</v>
      </c>
      <c r="F4" s="20" t="s">
        <v>35</v>
      </c>
      <c r="G4" s="20" t="s">
        <v>36</v>
      </c>
      <c r="H4" s="21" t="s">
        <v>37</v>
      </c>
      <c r="I4" s="21" t="s">
        <v>38</v>
      </c>
    </row>
    <row r="5" spans="1:9" x14ac:dyDescent="0.25">
      <c r="A5" s="22"/>
      <c r="B5" s="23" t="s">
        <v>39</v>
      </c>
      <c r="C5" s="24" t="s">
        <v>40</v>
      </c>
      <c r="D5" s="25" t="s">
        <v>41</v>
      </c>
      <c r="E5" s="25" t="s">
        <v>44</v>
      </c>
      <c r="F5" s="25" t="s">
        <v>45</v>
      </c>
      <c r="G5" s="25" t="s">
        <v>45</v>
      </c>
      <c r="H5" s="26" t="s">
        <v>46</v>
      </c>
      <c r="I5" s="26" t="s">
        <v>46</v>
      </c>
    </row>
    <row r="6" spans="1:9" x14ac:dyDescent="0.25">
      <c r="A6" s="27"/>
      <c r="B6" s="28"/>
      <c r="C6" s="29"/>
      <c r="D6" s="30"/>
      <c r="E6" s="30"/>
      <c r="F6" s="30"/>
      <c r="G6" s="30"/>
      <c r="H6" s="30"/>
      <c r="I6" s="30"/>
    </row>
    <row r="7" spans="1:9" hidden="1" x14ac:dyDescent="0.25">
      <c r="A7" s="31">
        <v>1986</v>
      </c>
      <c r="B7" s="32">
        <v>47054</v>
      </c>
      <c r="C7" s="32" t="s">
        <v>52</v>
      </c>
      <c r="D7" s="32">
        <v>16</v>
      </c>
      <c r="E7" s="33">
        <f t="shared" ref="E7:E17" si="0">SUM(B7:D7)</f>
        <v>47070</v>
      </c>
      <c r="F7" s="33"/>
      <c r="G7" s="33"/>
      <c r="H7" s="33"/>
      <c r="I7" s="33"/>
    </row>
    <row r="8" spans="1:9" x14ac:dyDescent="0.25">
      <c r="A8" s="31">
        <v>1987</v>
      </c>
      <c r="B8" s="32">
        <v>45054</v>
      </c>
      <c r="C8" s="32">
        <v>0</v>
      </c>
      <c r="D8" s="32">
        <v>2</v>
      </c>
      <c r="E8" s="30">
        <f t="shared" si="0"/>
        <v>45056</v>
      </c>
      <c r="F8" s="33">
        <v>348651</v>
      </c>
      <c r="G8" s="35">
        <f t="shared" ref="G8:G39" si="1">E8/F8</f>
        <v>0.12922951604900029</v>
      </c>
      <c r="H8" s="33"/>
      <c r="I8" s="33"/>
    </row>
    <row r="9" spans="1:9" x14ac:dyDescent="0.25">
      <c r="A9" s="36">
        <v>1988</v>
      </c>
      <c r="B9" s="37">
        <v>55642</v>
      </c>
      <c r="C9" s="37">
        <v>0</v>
      </c>
      <c r="D9" s="37">
        <v>0</v>
      </c>
      <c r="E9" s="38">
        <f t="shared" si="0"/>
        <v>55642</v>
      </c>
      <c r="F9" s="39">
        <v>369948</v>
      </c>
      <c r="G9" s="40">
        <f t="shared" si="1"/>
        <v>0.15040492177278969</v>
      </c>
      <c r="H9" s="35">
        <f t="shared" ref="H9:I26" si="2">(E9-E8)/E8</f>
        <v>0.23495205965909091</v>
      </c>
      <c r="I9" s="35">
        <f t="shared" si="2"/>
        <v>6.1084006642745894E-2</v>
      </c>
    </row>
    <row r="10" spans="1:9" x14ac:dyDescent="0.25">
      <c r="A10" s="31">
        <v>1989</v>
      </c>
      <c r="B10" s="32">
        <v>61322</v>
      </c>
      <c r="C10" s="32">
        <v>0</v>
      </c>
      <c r="D10" s="32">
        <v>0</v>
      </c>
      <c r="E10" s="30">
        <f t="shared" si="0"/>
        <v>61322</v>
      </c>
      <c r="F10" s="33">
        <v>408547</v>
      </c>
      <c r="G10" s="35">
        <f t="shared" si="1"/>
        <v>0.15009778556689929</v>
      </c>
      <c r="H10" s="35">
        <f t="shared" si="2"/>
        <v>0.10208116171237554</v>
      </c>
      <c r="I10" s="35">
        <f t="shared" si="2"/>
        <v>0.1043362850995275</v>
      </c>
    </row>
    <row r="11" spans="1:9" x14ac:dyDescent="0.25">
      <c r="A11" s="36">
        <v>1990</v>
      </c>
      <c r="B11" s="37">
        <v>66013</v>
      </c>
      <c r="C11" s="37">
        <v>0</v>
      </c>
      <c r="D11" s="37">
        <v>16</v>
      </c>
      <c r="E11" s="38">
        <f t="shared" si="0"/>
        <v>66029</v>
      </c>
      <c r="F11" s="39">
        <v>424733</v>
      </c>
      <c r="G11" s="40">
        <f t="shared" si="1"/>
        <v>0.15546001841156679</v>
      </c>
      <c r="H11" s="35">
        <f t="shared" si="2"/>
        <v>7.6758748899253118E-2</v>
      </c>
      <c r="I11" s="35">
        <f t="shared" si="2"/>
        <v>3.9618452711683114E-2</v>
      </c>
    </row>
    <row r="12" spans="1:9" x14ac:dyDescent="0.25">
      <c r="A12" s="31">
        <v>1991</v>
      </c>
      <c r="B12" s="32">
        <v>62662</v>
      </c>
      <c r="C12" s="32">
        <v>23</v>
      </c>
      <c r="D12" s="32">
        <v>1</v>
      </c>
      <c r="E12" s="30">
        <f t="shared" si="0"/>
        <v>62686</v>
      </c>
      <c r="F12" s="33">
        <v>382827</v>
      </c>
      <c r="G12" s="35">
        <f t="shared" si="1"/>
        <v>0.16374498141458152</v>
      </c>
      <c r="H12" s="35">
        <f t="shared" si="2"/>
        <v>-5.0629268957579243E-2</v>
      </c>
      <c r="I12" s="35">
        <f t="shared" si="2"/>
        <v>-9.8664337360176865E-2</v>
      </c>
    </row>
    <row r="13" spans="1:9" x14ac:dyDescent="0.25">
      <c r="A13" s="36">
        <v>1992</v>
      </c>
      <c r="B13" s="37">
        <v>72421</v>
      </c>
      <c r="C13" s="37">
        <v>193</v>
      </c>
      <c r="D13" s="37">
        <v>10</v>
      </c>
      <c r="E13" s="38">
        <f t="shared" si="0"/>
        <v>72624</v>
      </c>
      <c r="F13" s="39">
        <v>396782</v>
      </c>
      <c r="G13" s="40">
        <f t="shared" si="1"/>
        <v>0.18303249643381</v>
      </c>
      <c r="H13" s="35">
        <f t="shared" si="2"/>
        <v>0.15853619627987112</v>
      </c>
      <c r="I13" s="35">
        <f t="shared" si="2"/>
        <v>3.6452496819712299E-2</v>
      </c>
    </row>
    <row r="14" spans="1:9" x14ac:dyDescent="0.25">
      <c r="A14" s="31">
        <v>1993</v>
      </c>
      <c r="B14" s="32">
        <v>57477</v>
      </c>
      <c r="C14" s="32">
        <v>97</v>
      </c>
      <c r="D14" s="32">
        <v>0</v>
      </c>
      <c r="E14" s="30">
        <f t="shared" si="0"/>
        <v>57574</v>
      </c>
      <c r="F14" s="33">
        <v>379682</v>
      </c>
      <c r="G14" s="35">
        <f t="shared" si="1"/>
        <v>0.15163742289600243</v>
      </c>
      <c r="H14" s="35">
        <f t="shared" si="2"/>
        <v>-0.20723176911213922</v>
      </c>
      <c r="I14" s="35">
        <f t="shared" si="2"/>
        <v>-4.3096713056539865E-2</v>
      </c>
    </row>
    <row r="15" spans="1:9" x14ac:dyDescent="0.25">
      <c r="A15" s="36">
        <v>1994</v>
      </c>
      <c r="B15" s="37">
        <v>58883.864000000001</v>
      </c>
      <c r="C15" s="39">
        <v>40.281999999999996</v>
      </c>
      <c r="D15" s="37">
        <v>0</v>
      </c>
      <c r="E15" s="38">
        <f t="shared" si="0"/>
        <v>58924.146000000001</v>
      </c>
      <c r="F15" s="39">
        <v>413123</v>
      </c>
      <c r="G15" s="40">
        <f t="shared" si="1"/>
        <v>0.14263099851618041</v>
      </c>
      <c r="H15" s="35">
        <f t="shared" si="2"/>
        <v>2.345062007156009E-2</v>
      </c>
      <c r="I15" s="35">
        <f t="shared" si="2"/>
        <v>8.8076337566700552E-2</v>
      </c>
    </row>
    <row r="16" spans="1:9" x14ac:dyDescent="0.25">
      <c r="A16" s="31">
        <v>1995</v>
      </c>
      <c r="B16" s="32">
        <v>68518.596999999994</v>
      </c>
      <c r="C16" s="33">
        <v>10.978999999999999</v>
      </c>
      <c r="D16" s="32">
        <v>0</v>
      </c>
      <c r="E16" s="30">
        <f t="shared" si="0"/>
        <v>68529.576000000001</v>
      </c>
      <c r="F16" s="33">
        <v>452805</v>
      </c>
      <c r="G16" s="35">
        <f t="shared" si="1"/>
        <v>0.15134456554145825</v>
      </c>
      <c r="H16" s="35">
        <f t="shared" si="2"/>
        <v>0.16301347837947452</v>
      </c>
      <c r="I16" s="35">
        <f t="shared" si="2"/>
        <v>9.6053717657937229E-2</v>
      </c>
    </row>
    <row r="17" spans="1:9" x14ac:dyDescent="0.25">
      <c r="A17" s="36">
        <v>1996</v>
      </c>
      <c r="B17" s="37">
        <v>76648</v>
      </c>
      <c r="C17" s="39">
        <v>14</v>
      </c>
      <c r="D17" s="37">
        <v>65</v>
      </c>
      <c r="E17" s="38">
        <f t="shared" si="0"/>
        <v>76727</v>
      </c>
      <c r="F17" s="39">
        <v>491878</v>
      </c>
      <c r="G17" s="40">
        <f t="shared" si="1"/>
        <v>0.15598786691008745</v>
      </c>
      <c r="H17" s="35">
        <f t="shared" si="2"/>
        <v>0.11961877598659007</v>
      </c>
      <c r="I17" s="35">
        <f t="shared" si="2"/>
        <v>8.6291008270668393E-2</v>
      </c>
    </row>
    <row r="18" spans="1:9" x14ac:dyDescent="0.25">
      <c r="A18" s="31">
        <v>1997</v>
      </c>
      <c r="B18" s="33">
        <v>77930</v>
      </c>
      <c r="C18" s="33">
        <v>55</v>
      </c>
      <c r="D18" s="33">
        <v>19</v>
      </c>
      <c r="E18" s="30">
        <f>SUM(B18:D18)+1</f>
        <v>78005</v>
      </c>
      <c r="F18" s="33">
        <v>542071</v>
      </c>
      <c r="G18" s="35">
        <f t="shared" si="1"/>
        <v>0.14390181360006346</v>
      </c>
      <c r="H18" s="35">
        <f t="shared" si="2"/>
        <v>1.665645730968238E-2</v>
      </c>
      <c r="I18" s="35">
        <f t="shared" si="2"/>
        <v>0.10204359617628761</v>
      </c>
    </row>
    <row r="19" spans="1:9" x14ac:dyDescent="0.25">
      <c r="A19" s="36">
        <v>1998</v>
      </c>
      <c r="B19" s="39">
        <v>77014</v>
      </c>
      <c r="C19" s="39">
        <v>203</v>
      </c>
      <c r="D19" s="39">
        <v>1</v>
      </c>
      <c r="E19" s="38">
        <f t="shared" ref="E19:E38" si="3">SUM(B19:D19)</f>
        <v>77218</v>
      </c>
      <c r="F19" s="39">
        <v>547966</v>
      </c>
      <c r="G19" s="40">
        <f t="shared" si="1"/>
        <v>0.14091750218079224</v>
      </c>
      <c r="H19" s="35">
        <f t="shared" si="2"/>
        <v>-1.0089096852765848E-2</v>
      </c>
      <c r="I19" s="35">
        <f t="shared" si="2"/>
        <v>1.0874959184313493E-2</v>
      </c>
    </row>
    <row r="20" spans="1:9" x14ac:dyDescent="0.25">
      <c r="A20" s="31">
        <v>1999</v>
      </c>
      <c r="B20" s="33">
        <v>86173</v>
      </c>
      <c r="C20" s="33">
        <v>218</v>
      </c>
      <c r="D20" s="33">
        <v>0</v>
      </c>
      <c r="E20" s="30">
        <f t="shared" si="3"/>
        <v>86391</v>
      </c>
      <c r="F20" s="33">
        <v>583485</v>
      </c>
      <c r="G20" s="35">
        <f t="shared" si="1"/>
        <v>0.14806036144888043</v>
      </c>
      <c r="H20" s="35">
        <f t="shared" si="2"/>
        <v>0.1187935455463752</v>
      </c>
      <c r="I20" s="35">
        <f t="shared" si="2"/>
        <v>6.4819715091812266E-2</v>
      </c>
    </row>
    <row r="21" spans="1:9" x14ac:dyDescent="0.25">
      <c r="A21" s="36">
        <v>2000</v>
      </c>
      <c r="B21" s="39">
        <v>87308.466</v>
      </c>
      <c r="C21" s="39">
        <v>382.02800000000002</v>
      </c>
      <c r="D21" s="39">
        <v>15.326000000000001</v>
      </c>
      <c r="E21" s="38">
        <f t="shared" si="3"/>
        <v>87705.82</v>
      </c>
      <c r="F21" s="39">
        <v>607520.28599999996</v>
      </c>
      <c r="G21" s="40">
        <f t="shared" si="1"/>
        <v>0.14436689937955424</v>
      </c>
      <c r="H21" s="35">
        <f t="shared" si="2"/>
        <v>1.5219409429223032E-2</v>
      </c>
      <c r="I21" s="35">
        <f t="shared" si="2"/>
        <v>4.1192637342862222E-2</v>
      </c>
    </row>
    <row r="22" spans="1:9" x14ac:dyDescent="0.25">
      <c r="A22" s="31">
        <v>2001</v>
      </c>
      <c r="B22" s="33">
        <v>76965.634999999995</v>
      </c>
      <c r="C22" s="33">
        <v>172.51900000000001</v>
      </c>
      <c r="D22" s="33">
        <v>6.7030000000000003</v>
      </c>
      <c r="E22" s="30">
        <f t="shared" si="3"/>
        <v>77144.856999999989</v>
      </c>
      <c r="F22" s="33">
        <v>577031.48800000001</v>
      </c>
      <c r="G22" s="35">
        <f t="shared" si="1"/>
        <v>0.1336926296126148</v>
      </c>
      <c r="H22" s="35">
        <f t="shared" si="2"/>
        <v>-0.12041347997202485</v>
      </c>
      <c r="I22" s="35">
        <f t="shared" si="2"/>
        <v>-5.0185645981869247E-2</v>
      </c>
    </row>
    <row r="23" spans="1:9" x14ac:dyDescent="0.25">
      <c r="A23" s="36">
        <v>2002</v>
      </c>
      <c r="B23" s="39">
        <v>75217.385999999999</v>
      </c>
      <c r="C23" s="39">
        <v>490.70100000000002</v>
      </c>
      <c r="D23" s="39">
        <v>8.298</v>
      </c>
      <c r="E23" s="38">
        <f t="shared" si="3"/>
        <v>75716.384999999995</v>
      </c>
      <c r="F23" s="39">
        <v>574066.01199999999</v>
      </c>
      <c r="G23" s="40">
        <f t="shared" si="1"/>
        <v>0.13189491002299575</v>
      </c>
      <c r="H23" s="35">
        <f t="shared" si="2"/>
        <v>-1.8516749600041314E-2</v>
      </c>
      <c r="I23" s="35">
        <f t="shared" si="2"/>
        <v>-5.1391926812840135E-3</v>
      </c>
    </row>
    <row r="24" spans="1:9" x14ac:dyDescent="0.25">
      <c r="A24" s="31">
        <v>2003</v>
      </c>
      <c r="B24" s="33">
        <v>70115.654999999999</v>
      </c>
      <c r="C24" s="33">
        <v>283.02999999999997</v>
      </c>
      <c r="D24" s="33">
        <v>4.2850000000000001</v>
      </c>
      <c r="E24" s="30">
        <f t="shared" si="3"/>
        <v>70402.97</v>
      </c>
      <c r="F24" s="33">
        <v>576835.37300000002</v>
      </c>
      <c r="G24" s="35">
        <f t="shared" si="1"/>
        <v>0.12205036878000199</v>
      </c>
      <c r="H24" s="35">
        <f t="shared" si="2"/>
        <v>-7.0175233537628529E-2</v>
      </c>
      <c r="I24" s="35">
        <f t="shared" si="2"/>
        <v>4.8241159415653295E-3</v>
      </c>
    </row>
    <row r="25" spans="1:9" x14ac:dyDescent="0.25">
      <c r="A25" s="36">
        <v>2004</v>
      </c>
      <c r="B25" s="39">
        <v>81908.415999999997</v>
      </c>
      <c r="C25" s="39">
        <v>142.773</v>
      </c>
      <c r="D25" s="39">
        <v>11.208</v>
      </c>
      <c r="E25" s="38">
        <f t="shared" si="3"/>
        <v>82062.396999999997</v>
      </c>
      <c r="F25" s="39">
        <v>629396.40700000001</v>
      </c>
      <c r="G25" s="40">
        <f t="shared" si="1"/>
        <v>0.13038269060217245</v>
      </c>
      <c r="H25" s="35">
        <f t="shared" si="2"/>
        <v>0.16560987412888967</v>
      </c>
      <c r="I25" s="35">
        <f t="shared" si="2"/>
        <v>9.111964428714045E-2</v>
      </c>
    </row>
    <row r="26" spans="1:9" x14ac:dyDescent="0.25">
      <c r="A26" s="31">
        <v>2005</v>
      </c>
      <c r="B26" s="33">
        <v>90239.414999999994</v>
      </c>
      <c r="C26" s="33">
        <v>239.02199999999999</v>
      </c>
      <c r="D26" s="33">
        <v>16.312999999999999</v>
      </c>
      <c r="E26" s="30">
        <f t="shared" si="3"/>
        <v>90494.749999999985</v>
      </c>
      <c r="F26" s="33">
        <v>610144.56900000002</v>
      </c>
      <c r="G26" s="35">
        <f t="shared" si="1"/>
        <v>0.14831689831856879</v>
      </c>
      <c r="H26" s="35">
        <f t="shared" si="2"/>
        <v>0.10275538259015257</v>
      </c>
      <c r="I26" s="35">
        <f t="shared" si="2"/>
        <v>-3.058777868110707E-2</v>
      </c>
    </row>
    <row r="27" spans="1:9" x14ac:dyDescent="0.25">
      <c r="A27" s="36">
        <v>2006</v>
      </c>
      <c r="B27" s="39">
        <v>93403.790999999997</v>
      </c>
      <c r="C27" s="39">
        <v>484.40699999999998</v>
      </c>
      <c r="D27" s="39">
        <v>5.931</v>
      </c>
      <c r="E27" s="38">
        <f t="shared" si="3"/>
        <v>93894.129000000001</v>
      </c>
      <c r="F27" s="39">
        <v>613602.37</v>
      </c>
      <c r="G27" s="40">
        <f t="shared" si="1"/>
        <v>0.15302113158396047</v>
      </c>
      <c r="H27" s="35">
        <f t="shared" ref="H27:I29" si="4">(E27-E26)/E26</f>
        <v>3.7564378044030351E-2</v>
      </c>
      <c r="I27" s="35">
        <f t="shared" si="4"/>
        <v>5.6671831164000373E-3</v>
      </c>
    </row>
    <row r="28" spans="1:9" x14ac:dyDescent="0.25">
      <c r="A28" s="31">
        <v>2007</v>
      </c>
      <c r="B28" s="33">
        <v>96785.978000000003</v>
      </c>
      <c r="C28" s="33">
        <v>234.18</v>
      </c>
      <c r="D28" s="33">
        <v>11.212999999999999</v>
      </c>
      <c r="E28" s="30">
        <f t="shared" si="3"/>
        <v>97031.370999999999</v>
      </c>
      <c r="F28" s="33">
        <v>627330.375</v>
      </c>
      <c r="G28" s="35">
        <f t="shared" si="1"/>
        <v>0.15467347806966944</v>
      </c>
      <c r="H28" s="35">
        <f t="shared" si="4"/>
        <v>3.3412547018781102E-2</v>
      </c>
      <c r="I28" s="35">
        <f t="shared" si="4"/>
        <v>2.2372803090705148E-2</v>
      </c>
    </row>
    <row r="29" spans="1:9" x14ac:dyDescent="0.25">
      <c r="A29" s="36">
        <v>2008</v>
      </c>
      <c r="B29" s="39">
        <v>103996</v>
      </c>
      <c r="C29" s="39">
        <v>184.12700000000001</v>
      </c>
      <c r="D29" s="39">
        <v>119.848</v>
      </c>
      <c r="E29" s="38">
        <f t="shared" si="3"/>
        <v>104299.97499999999</v>
      </c>
      <c r="F29" s="39">
        <v>629635</v>
      </c>
      <c r="G29" s="40">
        <f t="shared" si="1"/>
        <v>0.16565148856083284</v>
      </c>
      <c r="H29" s="35">
        <f t="shared" si="4"/>
        <v>7.4909835088282861E-2</v>
      </c>
      <c r="I29" s="35">
        <f t="shared" si="4"/>
        <v>3.6737022338508636E-3</v>
      </c>
    </row>
    <row r="30" spans="1:9" x14ac:dyDescent="0.25">
      <c r="A30" s="31">
        <v>2009</v>
      </c>
      <c r="B30" s="33">
        <v>89812</v>
      </c>
      <c r="C30" s="33">
        <v>71</v>
      </c>
      <c r="D30" s="33">
        <v>9</v>
      </c>
      <c r="E30" s="30">
        <f t="shared" si="3"/>
        <v>89892</v>
      </c>
      <c r="F30" s="33">
        <v>564734</v>
      </c>
      <c r="G30" s="35">
        <f t="shared" si="1"/>
        <v>0.15917582437041156</v>
      </c>
      <c r="H30" s="35">
        <f>(E30-E29)/E29</f>
        <v>-0.13813977424251533</v>
      </c>
      <c r="I30" s="35">
        <f>(F30-F29)/F29</f>
        <v>-0.10307717963582075</v>
      </c>
    </row>
    <row r="31" spans="1:9" x14ac:dyDescent="0.25">
      <c r="A31" s="36">
        <v>2010</v>
      </c>
      <c r="B31" s="39">
        <v>104279</v>
      </c>
      <c r="C31" s="39">
        <v>63</v>
      </c>
      <c r="D31" s="39">
        <v>245</v>
      </c>
      <c r="E31" s="38">
        <f t="shared" si="3"/>
        <v>104587</v>
      </c>
      <c r="F31" s="39">
        <v>652146</v>
      </c>
      <c r="G31" s="40">
        <f t="shared" si="1"/>
        <v>0.16037359732329878</v>
      </c>
      <c r="H31" s="35">
        <f>(E31-E30)/E30</f>
        <v>0.16347394651359409</v>
      </c>
      <c r="I31" s="35">
        <f>(F31-F30)/F30</f>
        <v>0.15478437636126036</v>
      </c>
    </row>
    <row r="32" spans="1:9" x14ac:dyDescent="0.25">
      <c r="A32" s="31">
        <v>2011</v>
      </c>
      <c r="B32" s="33">
        <v>96572.858999999997</v>
      </c>
      <c r="C32" s="33">
        <v>62.494999999999997</v>
      </c>
      <c r="D32" s="33">
        <v>34.817999999999998</v>
      </c>
      <c r="E32" s="30">
        <f t="shared" si="3"/>
        <v>96670.171999999991</v>
      </c>
      <c r="F32" s="33">
        <v>672146.04299999995</v>
      </c>
      <c r="G32" s="35">
        <f t="shared" si="1"/>
        <v>0.14382316612105681</v>
      </c>
      <c r="H32" s="35"/>
      <c r="I32" s="35"/>
    </row>
    <row r="33" spans="1:9" x14ac:dyDescent="0.25">
      <c r="A33" s="36">
        <v>2012</v>
      </c>
      <c r="B33" s="39">
        <v>100347</v>
      </c>
      <c r="C33" s="39">
        <v>135</v>
      </c>
      <c r="D33" s="39">
        <v>14</v>
      </c>
      <c r="E33" s="38">
        <f t="shared" si="3"/>
        <v>100496</v>
      </c>
      <c r="F33" s="39">
        <v>661974</v>
      </c>
      <c r="G33" s="40">
        <f t="shared" si="1"/>
        <v>0.15181260895443024</v>
      </c>
      <c r="H33" s="35"/>
      <c r="I33" s="35"/>
    </row>
    <row r="34" spans="1:9" x14ac:dyDescent="0.25">
      <c r="A34" s="31">
        <v>2013</v>
      </c>
      <c r="B34" s="33">
        <v>100297</v>
      </c>
      <c r="C34" s="33">
        <v>45</v>
      </c>
      <c r="D34" s="33">
        <v>0.06</v>
      </c>
      <c r="E34" s="30">
        <f t="shared" si="3"/>
        <v>100342.06</v>
      </c>
      <c r="F34" s="33">
        <v>638087</v>
      </c>
      <c r="G34" s="35">
        <f t="shared" si="1"/>
        <v>0.15725451231571869</v>
      </c>
      <c r="H34" s="35"/>
      <c r="I34" s="35"/>
    </row>
    <row r="35" spans="1:9" x14ac:dyDescent="0.25">
      <c r="A35" s="36">
        <v>2014</v>
      </c>
      <c r="B35" s="39">
        <v>102692.826</v>
      </c>
      <c r="C35" s="39">
        <v>90.364000000000004</v>
      </c>
      <c r="D35" s="39">
        <v>0.7</v>
      </c>
      <c r="E35" s="38">
        <f t="shared" si="3"/>
        <v>102783.89</v>
      </c>
      <c r="F35" s="39">
        <v>685209.27399999998</v>
      </c>
      <c r="G35" s="40">
        <f t="shared" si="1"/>
        <v>0.15000364691502993</v>
      </c>
      <c r="H35" s="35"/>
      <c r="I35" s="35"/>
    </row>
    <row r="36" spans="1:9" x14ac:dyDescent="0.25">
      <c r="A36" s="31">
        <v>2015</v>
      </c>
      <c r="B36" s="33">
        <v>117219.382</v>
      </c>
      <c r="C36" s="33">
        <v>96.168000000000006</v>
      </c>
      <c r="D36" s="33">
        <v>0.01</v>
      </c>
      <c r="E36" s="30">
        <f t="shared" si="3"/>
        <v>117315.56</v>
      </c>
      <c r="F36" s="33">
        <v>715552.11100000003</v>
      </c>
      <c r="G36" s="35">
        <f t="shared" si="1"/>
        <v>0.16395110600127905</v>
      </c>
      <c r="H36" s="35"/>
      <c r="I36" s="35"/>
    </row>
    <row r="37" spans="1:9" x14ac:dyDescent="0.25">
      <c r="A37" s="36">
        <v>2016</v>
      </c>
      <c r="B37" s="39">
        <v>132754.96400000001</v>
      </c>
      <c r="C37" s="39">
        <v>51.363999999999997</v>
      </c>
      <c r="D37" s="39">
        <v>0</v>
      </c>
      <c r="E37" s="38">
        <f t="shared" si="3"/>
        <v>132806.32800000001</v>
      </c>
      <c r="F37" s="39">
        <v>795575.21200000006</v>
      </c>
      <c r="G37" s="40">
        <f t="shared" si="1"/>
        <v>0.1669312039852745</v>
      </c>
      <c r="H37" s="35"/>
      <c r="I37" s="35"/>
    </row>
    <row r="38" spans="1:9" x14ac:dyDescent="0.25">
      <c r="A38" s="42">
        <v>2017</v>
      </c>
      <c r="B38" s="45">
        <v>156105.304</v>
      </c>
      <c r="C38" s="45">
        <v>125.501</v>
      </c>
      <c r="D38" s="45">
        <v>0</v>
      </c>
      <c r="E38" s="44">
        <f t="shared" si="3"/>
        <v>156230.80499999999</v>
      </c>
      <c r="F38" s="45">
        <v>918305.64399999997</v>
      </c>
      <c r="G38" s="46">
        <f t="shared" si="1"/>
        <v>0.17012941826153036</v>
      </c>
      <c r="H38" s="35"/>
      <c r="I38" s="35"/>
    </row>
    <row r="39" spans="1:9" x14ac:dyDescent="0.25">
      <c r="A39" s="36">
        <v>2018</v>
      </c>
      <c r="B39" s="39">
        <v>172939.99799999999</v>
      </c>
      <c r="C39" s="39">
        <v>132.96199999999999</v>
      </c>
      <c r="D39" s="39">
        <v>0</v>
      </c>
      <c r="E39" s="38">
        <f>SUM(B39:D39)</f>
        <v>173072.96</v>
      </c>
      <c r="F39" s="39">
        <v>1010873.428</v>
      </c>
      <c r="G39" s="40">
        <f t="shared" si="1"/>
        <v>0.171211306189364</v>
      </c>
      <c r="H39" s="35"/>
      <c r="I39" s="35"/>
    </row>
    <row r="40" spans="1:9" x14ac:dyDescent="0.25">
      <c r="A40" s="47">
        <v>2019</v>
      </c>
      <c r="B40" s="49">
        <v>176809</v>
      </c>
      <c r="C40" s="49">
        <v>78</v>
      </c>
      <c r="D40" s="49">
        <v>0</v>
      </c>
      <c r="E40" s="38">
        <f>SUM(B40:D40)</f>
        <v>176887</v>
      </c>
      <c r="F40" s="49">
        <v>1069766</v>
      </c>
      <c r="G40" s="73">
        <f>E40/F40</f>
        <v>0.165351114168893</v>
      </c>
      <c r="H40" s="35"/>
      <c r="I40" s="35"/>
    </row>
    <row r="41" spans="1:9" x14ac:dyDescent="0.25">
      <c r="A41" s="69"/>
      <c r="B41" s="70"/>
      <c r="C41" s="26"/>
      <c r="D41" s="26"/>
      <c r="E41" s="26"/>
      <c r="F41" s="26"/>
      <c r="G41" s="26"/>
      <c r="H41" s="26"/>
      <c r="I41" s="26"/>
    </row>
    <row r="42" spans="1:9" ht="15" customHeight="1" x14ac:dyDescent="0.3">
      <c r="A42" s="52" t="s">
        <v>53</v>
      </c>
      <c r="B42" s="28"/>
      <c r="C42" s="58"/>
      <c r="D42" s="58"/>
      <c r="E42" s="58"/>
      <c r="F42" s="58"/>
      <c r="G42" s="59"/>
      <c r="H42" s="58"/>
      <c r="I42" s="58"/>
    </row>
  </sheetData>
  <pageMargins left="0.42" right="0.75" top="0.55118110236220474" bottom="0" header="0" footer="0"/>
  <pageSetup paperSize="9" orientation="portrait" r:id="rId1"/>
  <headerFooter alignWithMargins="0"/>
  <ignoredErrors>
    <ignoredError sqref="E8:E4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5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4" width="8.7265625" style="67" customWidth="1"/>
    <col min="5" max="5" width="1.7265625" style="67" customWidth="1"/>
    <col min="6" max="6" width="9.7265625" style="67" customWidth="1"/>
    <col min="7" max="7" width="10.26953125" style="67" customWidth="1"/>
    <col min="8" max="8" width="10.7265625" style="67" customWidth="1"/>
    <col min="9" max="9" width="1.7265625" style="67" customWidth="1"/>
    <col min="10" max="12" width="8.7265625" style="67" customWidth="1"/>
    <col min="13" max="256" width="11.453125" style="67"/>
    <col min="257" max="260" width="8.7265625" style="67" customWidth="1"/>
    <col min="261" max="261" width="1.7265625" style="67" customWidth="1"/>
    <col min="262" max="262" width="9.7265625" style="67" customWidth="1"/>
    <col min="263" max="263" width="10.26953125" style="67" customWidth="1"/>
    <col min="264" max="264" width="10.7265625" style="67" customWidth="1"/>
    <col min="265" max="265" width="1.7265625" style="67" customWidth="1"/>
    <col min="266" max="268" width="8.7265625" style="67" customWidth="1"/>
    <col min="269" max="512" width="11.453125" style="67"/>
    <col min="513" max="516" width="8.7265625" style="67" customWidth="1"/>
    <col min="517" max="517" width="1.7265625" style="67" customWidth="1"/>
    <col min="518" max="518" width="9.7265625" style="67" customWidth="1"/>
    <col min="519" max="519" width="10.26953125" style="67" customWidth="1"/>
    <col min="520" max="520" width="10.7265625" style="67" customWidth="1"/>
    <col min="521" max="521" width="1.7265625" style="67" customWidth="1"/>
    <col min="522" max="524" width="8.7265625" style="67" customWidth="1"/>
    <col min="525" max="768" width="11.453125" style="67"/>
    <col min="769" max="772" width="8.7265625" style="67" customWidth="1"/>
    <col min="773" max="773" width="1.7265625" style="67" customWidth="1"/>
    <col min="774" max="774" width="9.7265625" style="67" customWidth="1"/>
    <col min="775" max="775" width="10.26953125" style="67" customWidth="1"/>
    <col min="776" max="776" width="10.7265625" style="67" customWidth="1"/>
    <col min="777" max="777" width="1.7265625" style="67" customWidth="1"/>
    <col min="778" max="780" width="8.7265625" style="67" customWidth="1"/>
    <col min="781" max="1024" width="11.453125" style="67"/>
    <col min="1025" max="1028" width="8.7265625" style="67" customWidth="1"/>
    <col min="1029" max="1029" width="1.7265625" style="67" customWidth="1"/>
    <col min="1030" max="1030" width="9.7265625" style="67" customWidth="1"/>
    <col min="1031" max="1031" width="10.26953125" style="67" customWidth="1"/>
    <col min="1032" max="1032" width="10.7265625" style="67" customWidth="1"/>
    <col min="1033" max="1033" width="1.7265625" style="67" customWidth="1"/>
    <col min="1034" max="1036" width="8.7265625" style="67" customWidth="1"/>
    <col min="1037" max="1280" width="11.453125" style="67"/>
    <col min="1281" max="1284" width="8.7265625" style="67" customWidth="1"/>
    <col min="1285" max="1285" width="1.7265625" style="67" customWidth="1"/>
    <col min="1286" max="1286" width="9.7265625" style="67" customWidth="1"/>
    <col min="1287" max="1287" width="10.26953125" style="67" customWidth="1"/>
    <col min="1288" max="1288" width="10.7265625" style="67" customWidth="1"/>
    <col min="1289" max="1289" width="1.7265625" style="67" customWidth="1"/>
    <col min="1290" max="1292" width="8.7265625" style="67" customWidth="1"/>
    <col min="1293" max="1536" width="11.453125" style="67"/>
    <col min="1537" max="1540" width="8.7265625" style="67" customWidth="1"/>
    <col min="1541" max="1541" width="1.7265625" style="67" customWidth="1"/>
    <col min="1542" max="1542" width="9.7265625" style="67" customWidth="1"/>
    <col min="1543" max="1543" width="10.26953125" style="67" customWidth="1"/>
    <col min="1544" max="1544" width="10.7265625" style="67" customWidth="1"/>
    <col min="1545" max="1545" width="1.7265625" style="67" customWidth="1"/>
    <col min="1546" max="1548" width="8.7265625" style="67" customWidth="1"/>
    <col min="1549" max="1792" width="11.453125" style="67"/>
    <col min="1793" max="1796" width="8.7265625" style="67" customWidth="1"/>
    <col min="1797" max="1797" width="1.7265625" style="67" customWidth="1"/>
    <col min="1798" max="1798" width="9.7265625" style="67" customWidth="1"/>
    <col min="1799" max="1799" width="10.26953125" style="67" customWidth="1"/>
    <col min="1800" max="1800" width="10.7265625" style="67" customWidth="1"/>
    <col min="1801" max="1801" width="1.7265625" style="67" customWidth="1"/>
    <col min="1802" max="1804" width="8.7265625" style="67" customWidth="1"/>
    <col min="1805" max="2048" width="11.453125" style="67"/>
    <col min="2049" max="2052" width="8.7265625" style="67" customWidth="1"/>
    <col min="2053" max="2053" width="1.7265625" style="67" customWidth="1"/>
    <col min="2054" max="2054" width="9.7265625" style="67" customWidth="1"/>
    <col min="2055" max="2055" width="10.26953125" style="67" customWidth="1"/>
    <col min="2056" max="2056" width="10.7265625" style="67" customWidth="1"/>
    <col min="2057" max="2057" width="1.7265625" style="67" customWidth="1"/>
    <col min="2058" max="2060" width="8.7265625" style="67" customWidth="1"/>
    <col min="2061" max="2304" width="11.453125" style="67"/>
    <col min="2305" max="2308" width="8.7265625" style="67" customWidth="1"/>
    <col min="2309" max="2309" width="1.7265625" style="67" customWidth="1"/>
    <col min="2310" max="2310" width="9.7265625" style="67" customWidth="1"/>
    <col min="2311" max="2311" width="10.26953125" style="67" customWidth="1"/>
    <col min="2312" max="2312" width="10.7265625" style="67" customWidth="1"/>
    <col min="2313" max="2313" width="1.7265625" style="67" customWidth="1"/>
    <col min="2314" max="2316" width="8.7265625" style="67" customWidth="1"/>
    <col min="2317" max="2560" width="11.453125" style="67"/>
    <col min="2561" max="2564" width="8.7265625" style="67" customWidth="1"/>
    <col min="2565" max="2565" width="1.7265625" style="67" customWidth="1"/>
    <col min="2566" max="2566" width="9.7265625" style="67" customWidth="1"/>
    <col min="2567" max="2567" width="10.26953125" style="67" customWidth="1"/>
    <col min="2568" max="2568" width="10.7265625" style="67" customWidth="1"/>
    <col min="2569" max="2569" width="1.7265625" style="67" customWidth="1"/>
    <col min="2570" max="2572" width="8.7265625" style="67" customWidth="1"/>
    <col min="2573" max="2816" width="11.453125" style="67"/>
    <col min="2817" max="2820" width="8.7265625" style="67" customWidth="1"/>
    <col min="2821" max="2821" width="1.7265625" style="67" customWidth="1"/>
    <col min="2822" max="2822" width="9.7265625" style="67" customWidth="1"/>
    <col min="2823" max="2823" width="10.26953125" style="67" customWidth="1"/>
    <col min="2824" max="2824" width="10.7265625" style="67" customWidth="1"/>
    <col min="2825" max="2825" width="1.7265625" style="67" customWidth="1"/>
    <col min="2826" max="2828" width="8.7265625" style="67" customWidth="1"/>
    <col min="2829" max="3072" width="11.453125" style="67"/>
    <col min="3073" max="3076" width="8.7265625" style="67" customWidth="1"/>
    <col min="3077" max="3077" width="1.7265625" style="67" customWidth="1"/>
    <col min="3078" max="3078" width="9.7265625" style="67" customWidth="1"/>
    <col min="3079" max="3079" width="10.26953125" style="67" customWidth="1"/>
    <col min="3080" max="3080" width="10.7265625" style="67" customWidth="1"/>
    <col min="3081" max="3081" width="1.7265625" style="67" customWidth="1"/>
    <col min="3082" max="3084" width="8.7265625" style="67" customWidth="1"/>
    <col min="3085" max="3328" width="11.453125" style="67"/>
    <col min="3329" max="3332" width="8.7265625" style="67" customWidth="1"/>
    <col min="3333" max="3333" width="1.7265625" style="67" customWidth="1"/>
    <col min="3334" max="3334" width="9.7265625" style="67" customWidth="1"/>
    <col min="3335" max="3335" width="10.26953125" style="67" customWidth="1"/>
    <col min="3336" max="3336" width="10.7265625" style="67" customWidth="1"/>
    <col min="3337" max="3337" width="1.7265625" style="67" customWidth="1"/>
    <col min="3338" max="3340" width="8.7265625" style="67" customWidth="1"/>
    <col min="3341" max="3584" width="11.453125" style="67"/>
    <col min="3585" max="3588" width="8.7265625" style="67" customWidth="1"/>
    <col min="3589" max="3589" width="1.7265625" style="67" customWidth="1"/>
    <col min="3590" max="3590" width="9.7265625" style="67" customWidth="1"/>
    <col min="3591" max="3591" width="10.26953125" style="67" customWidth="1"/>
    <col min="3592" max="3592" width="10.7265625" style="67" customWidth="1"/>
    <col min="3593" max="3593" width="1.7265625" style="67" customWidth="1"/>
    <col min="3594" max="3596" width="8.7265625" style="67" customWidth="1"/>
    <col min="3597" max="3840" width="11.453125" style="67"/>
    <col min="3841" max="3844" width="8.7265625" style="67" customWidth="1"/>
    <col min="3845" max="3845" width="1.7265625" style="67" customWidth="1"/>
    <col min="3846" max="3846" width="9.7265625" style="67" customWidth="1"/>
    <col min="3847" max="3847" width="10.26953125" style="67" customWidth="1"/>
    <col min="3848" max="3848" width="10.7265625" style="67" customWidth="1"/>
    <col min="3849" max="3849" width="1.7265625" style="67" customWidth="1"/>
    <col min="3850" max="3852" width="8.7265625" style="67" customWidth="1"/>
    <col min="3853" max="4096" width="11.453125" style="67"/>
    <col min="4097" max="4100" width="8.7265625" style="67" customWidth="1"/>
    <col min="4101" max="4101" width="1.7265625" style="67" customWidth="1"/>
    <col min="4102" max="4102" width="9.7265625" style="67" customWidth="1"/>
    <col min="4103" max="4103" width="10.26953125" style="67" customWidth="1"/>
    <col min="4104" max="4104" width="10.7265625" style="67" customWidth="1"/>
    <col min="4105" max="4105" width="1.7265625" style="67" customWidth="1"/>
    <col min="4106" max="4108" width="8.7265625" style="67" customWidth="1"/>
    <col min="4109" max="4352" width="11.453125" style="67"/>
    <col min="4353" max="4356" width="8.7265625" style="67" customWidth="1"/>
    <col min="4357" max="4357" width="1.7265625" style="67" customWidth="1"/>
    <col min="4358" max="4358" width="9.7265625" style="67" customWidth="1"/>
    <col min="4359" max="4359" width="10.26953125" style="67" customWidth="1"/>
    <col min="4360" max="4360" width="10.7265625" style="67" customWidth="1"/>
    <col min="4361" max="4361" width="1.7265625" style="67" customWidth="1"/>
    <col min="4362" max="4364" width="8.7265625" style="67" customWidth="1"/>
    <col min="4365" max="4608" width="11.453125" style="67"/>
    <col min="4609" max="4612" width="8.7265625" style="67" customWidth="1"/>
    <col min="4613" max="4613" width="1.7265625" style="67" customWidth="1"/>
    <col min="4614" max="4614" width="9.7265625" style="67" customWidth="1"/>
    <col min="4615" max="4615" width="10.26953125" style="67" customWidth="1"/>
    <col min="4616" max="4616" width="10.7265625" style="67" customWidth="1"/>
    <col min="4617" max="4617" width="1.7265625" style="67" customWidth="1"/>
    <col min="4618" max="4620" width="8.7265625" style="67" customWidth="1"/>
    <col min="4621" max="4864" width="11.453125" style="67"/>
    <col min="4865" max="4868" width="8.7265625" style="67" customWidth="1"/>
    <col min="4869" max="4869" width="1.7265625" style="67" customWidth="1"/>
    <col min="4870" max="4870" width="9.7265625" style="67" customWidth="1"/>
    <col min="4871" max="4871" width="10.26953125" style="67" customWidth="1"/>
    <col min="4872" max="4872" width="10.7265625" style="67" customWidth="1"/>
    <col min="4873" max="4873" width="1.7265625" style="67" customWidth="1"/>
    <col min="4874" max="4876" width="8.7265625" style="67" customWidth="1"/>
    <col min="4877" max="5120" width="11.453125" style="67"/>
    <col min="5121" max="5124" width="8.7265625" style="67" customWidth="1"/>
    <col min="5125" max="5125" width="1.7265625" style="67" customWidth="1"/>
    <col min="5126" max="5126" width="9.7265625" style="67" customWidth="1"/>
    <col min="5127" max="5127" width="10.26953125" style="67" customWidth="1"/>
    <col min="5128" max="5128" width="10.7265625" style="67" customWidth="1"/>
    <col min="5129" max="5129" width="1.7265625" style="67" customWidth="1"/>
    <col min="5130" max="5132" width="8.7265625" style="67" customWidth="1"/>
    <col min="5133" max="5376" width="11.453125" style="67"/>
    <col min="5377" max="5380" width="8.7265625" style="67" customWidth="1"/>
    <col min="5381" max="5381" width="1.7265625" style="67" customWidth="1"/>
    <col min="5382" max="5382" width="9.7265625" style="67" customWidth="1"/>
    <col min="5383" max="5383" width="10.26953125" style="67" customWidth="1"/>
    <col min="5384" max="5384" width="10.7265625" style="67" customWidth="1"/>
    <col min="5385" max="5385" width="1.7265625" style="67" customWidth="1"/>
    <col min="5386" max="5388" width="8.7265625" style="67" customWidth="1"/>
    <col min="5389" max="5632" width="11.453125" style="67"/>
    <col min="5633" max="5636" width="8.7265625" style="67" customWidth="1"/>
    <col min="5637" max="5637" width="1.7265625" style="67" customWidth="1"/>
    <col min="5638" max="5638" width="9.7265625" style="67" customWidth="1"/>
    <col min="5639" max="5639" width="10.26953125" style="67" customWidth="1"/>
    <col min="5640" max="5640" width="10.7265625" style="67" customWidth="1"/>
    <col min="5641" max="5641" width="1.7265625" style="67" customWidth="1"/>
    <col min="5642" max="5644" width="8.7265625" style="67" customWidth="1"/>
    <col min="5645" max="5888" width="11.453125" style="67"/>
    <col min="5889" max="5892" width="8.7265625" style="67" customWidth="1"/>
    <col min="5893" max="5893" width="1.7265625" style="67" customWidth="1"/>
    <col min="5894" max="5894" width="9.7265625" style="67" customWidth="1"/>
    <col min="5895" max="5895" width="10.26953125" style="67" customWidth="1"/>
    <col min="5896" max="5896" width="10.7265625" style="67" customWidth="1"/>
    <col min="5897" max="5897" width="1.7265625" style="67" customWidth="1"/>
    <col min="5898" max="5900" width="8.7265625" style="67" customWidth="1"/>
    <col min="5901" max="6144" width="11.453125" style="67"/>
    <col min="6145" max="6148" width="8.7265625" style="67" customWidth="1"/>
    <col min="6149" max="6149" width="1.7265625" style="67" customWidth="1"/>
    <col min="6150" max="6150" width="9.7265625" style="67" customWidth="1"/>
    <col min="6151" max="6151" width="10.26953125" style="67" customWidth="1"/>
    <col min="6152" max="6152" width="10.7265625" style="67" customWidth="1"/>
    <col min="6153" max="6153" width="1.7265625" style="67" customWidth="1"/>
    <col min="6154" max="6156" width="8.7265625" style="67" customWidth="1"/>
    <col min="6157" max="6400" width="11.453125" style="67"/>
    <col min="6401" max="6404" width="8.7265625" style="67" customWidth="1"/>
    <col min="6405" max="6405" width="1.7265625" style="67" customWidth="1"/>
    <col min="6406" max="6406" width="9.7265625" style="67" customWidth="1"/>
    <col min="6407" max="6407" width="10.26953125" style="67" customWidth="1"/>
    <col min="6408" max="6408" width="10.7265625" style="67" customWidth="1"/>
    <col min="6409" max="6409" width="1.7265625" style="67" customWidth="1"/>
    <col min="6410" max="6412" width="8.7265625" style="67" customWidth="1"/>
    <col min="6413" max="6656" width="11.453125" style="67"/>
    <col min="6657" max="6660" width="8.7265625" style="67" customWidth="1"/>
    <col min="6661" max="6661" width="1.7265625" style="67" customWidth="1"/>
    <col min="6662" max="6662" width="9.7265625" style="67" customWidth="1"/>
    <col min="6663" max="6663" width="10.26953125" style="67" customWidth="1"/>
    <col min="6664" max="6664" width="10.7265625" style="67" customWidth="1"/>
    <col min="6665" max="6665" width="1.7265625" style="67" customWidth="1"/>
    <col min="6666" max="6668" width="8.7265625" style="67" customWidth="1"/>
    <col min="6669" max="6912" width="11.453125" style="67"/>
    <col min="6913" max="6916" width="8.7265625" style="67" customWidth="1"/>
    <col min="6917" max="6917" width="1.7265625" style="67" customWidth="1"/>
    <col min="6918" max="6918" width="9.7265625" style="67" customWidth="1"/>
    <col min="6919" max="6919" width="10.26953125" style="67" customWidth="1"/>
    <col min="6920" max="6920" width="10.7265625" style="67" customWidth="1"/>
    <col min="6921" max="6921" width="1.7265625" style="67" customWidth="1"/>
    <col min="6922" max="6924" width="8.7265625" style="67" customWidth="1"/>
    <col min="6925" max="7168" width="11.453125" style="67"/>
    <col min="7169" max="7172" width="8.7265625" style="67" customWidth="1"/>
    <col min="7173" max="7173" width="1.7265625" style="67" customWidth="1"/>
    <col min="7174" max="7174" width="9.7265625" style="67" customWidth="1"/>
    <col min="7175" max="7175" width="10.26953125" style="67" customWidth="1"/>
    <col min="7176" max="7176" width="10.7265625" style="67" customWidth="1"/>
    <col min="7177" max="7177" width="1.7265625" style="67" customWidth="1"/>
    <col min="7178" max="7180" width="8.7265625" style="67" customWidth="1"/>
    <col min="7181" max="7424" width="11.453125" style="67"/>
    <col min="7425" max="7428" width="8.7265625" style="67" customWidth="1"/>
    <col min="7429" max="7429" width="1.7265625" style="67" customWidth="1"/>
    <col min="7430" max="7430" width="9.7265625" style="67" customWidth="1"/>
    <col min="7431" max="7431" width="10.26953125" style="67" customWidth="1"/>
    <col min="7432" max="7432" width="10.7265625" style="67" customWidth="1"/>
    <col min="7433" max="7433" width="1.7265625" style="67" customWidth="1"/>
    <col min="7434" max="7436" width="8.7265625" style="67" customWidth="1"/>
    <col min="7437" max="7680" width="11.453125" style="67"/>
    <col min="7681" max="7684" width="8.7265625" style="67" customWidth="1"/>
    <col min="7685" max="7685" width="1.7265625" style="67" customWidth="1"/>
    <col min="7686" max="7686" width="9.7265625" style="67" customWidth="1"/>
    <col min="7687" max="7687" width="10.26953125" style="67" customWidth="1"/>
    <col min="7688" max="7688" width="10.7265625" style="67" customWidth="1"/>
    <col min="7689" max="7689" width="1.7265625" style="67" customWidth="1"/>
    <col min="7690" max="7692" width="8.7265625" style="67" customWidth="1"/>
    <col min="7693" max="7936" width="11.453125" style="67"/>
    <col min="7937" max="7940" width="8.7265625" style="67" customWidth="1"/>
    <col min="7941" max="7941" width="1.7265625" style="67" customWidth="1"/>
    <col min="7942" max="7942" width="9.7265625" style="67" customWidth="1"/>
    <col min="7943" max="7943" width="10.26953125" style="67" customWidth="1"/>
    <col min="7944" max="7944" width="10.7265625" style="67" customWidth="1"/>
    <col min="7945" max="7945" width="1.7265625" style="67" customWidth="1"/>
    <col min="7946" max="7948" width="8.7265625" style="67" customWidth="1"/>
    <col min="7949" max="8192" width="11.453125" style="67"/>
    <col min="8193" max="8196" width="8.7265625" style="67" customWidth="1"/>
    <col min="8197" max="8197" width="1.7265625" style="67" customWidth="1"/>
    <col min="8198" max="8198" width="9.7265625" style="67" customWidth="1"/>
    <col min="8199" max="8199" width="10.26953125" style="67" customWidth="1"/>
    <col min="8200" max="8200" width="10.7265625" style="67" customWidth="1"/>
    <col min="8201" max="8201" width="1.7265625" style="67" customWidth="1"/>
    <col min="8202" max="8204" width="8.7265625" style="67" customWidth="1"/>
    <col min="8205" max="8448" width="11.453125" style="67"/>
    <col min="8449" max="8452" width="8.7265625" style="67" customWidth="1"/>
    <col min="8453" max="8453" width="1.7265625" style="67" customWidth="1"/>
    <col min="8454" max="8454" width="9.7265625" style="67" customWidth="1"/>
    <col min="8455" max="8455" width="10.26953125" style="67" customWidth="1"/>
    <col min="8456" max="8456" width="10.7265625" style="67" customWidth="1"/>
    <col min="8457" max="8457" width="1.7265625" style="67" customWidth="1"/>
    <col min="8458" max="8460" width="8.7265625" style="67" customWidth="1"/>
    <col min="8461" max="8704" width="11.453125" style="67"/>
    <col min="8705" max="8708" width="8.7265625" style="67" customWidth="1"/>
    <col min="8709" max="8709" width="1.7265625" style="67" customWidth="1"/>
    <col min="8710" max="8710" width="9.7265625" style="67" customWidth="1"/>
    <col min="8711" max="8711" width="10.26953125" style="67" customWidth="1"/>
    <col min="8712" max="8712" width="10.7265625" style="67" customWidth="1"/>
    <col min="8713" max="8713" width="1.7265625" style="67" customWidth="1"/>
    <col min="8714" max="8716" width="8.7265625" style="67" customWidth="1"/>
    <col min="8717" max="8960" width="11.453125" style="67"/>
    <col min="8961" max="8964" width="8.7265625" style="67" customWidth="1"/>
    <col min="8965" max="8965" width="1.7265625" style="67" customWidth="1"/>
    <col min="8966" max="8966" width="9.7265625" style="67" customWidth="1"/>
    <col min="8967" max="8967" width="10.26953125" style="67" customWidth="1"/>
    <col min="8968" max="8968" width="10.7265625" style="67" customWidth="1"/>
    <col min="8969" max="8969" width="1.7265625" style="67" customWidth="1"/>
    <col min="8970" max="8972" width="8.7265625" style="67" customWidth="1"/>
    <col min="8973" max="9216" width="11.453125" style="67"/>
    <col min="9217" max="9220" width="8.7265625" style="67" customWidth="1"/>
    <col min="9221" max="9221" width="1.7265625" style="67" customWidth="1"/>
    <col min="9222" max="9222" width="9.7265625" style="67" customWidth="1"/>
    <col min="9223" max="9223" width="10.26953125" style="67" customWidth="1"/>
    <col min="9224" max="9224" width="10.7265625" style="67" customWidth="1"/>
    <col min="9225" max="9225" width="1.7265625" style="67" customWidth="1"/>
    <col min="9226" max="9228" width="8.7265625" style="67" customWidth="1"/>
    <col min="9229" max="9472" width="11.453125" style="67"/>
    <col min="9473" max="9476" width="8.7265625" style="67" customWidth="1"/>
    <col min="9477" max="9477" width="1.7265625" style="67" customWidth="1"/>
    <col min="9478" max="9478" width="9.7265625" style="67" customWidth="1"/>
    <col min="9479" max="9479" width="10.26953125" style="67" customWidth="1"/>
    <col min="9480" max="9480" width="10.7265625" style="67" customWidth="1"/>
    <col min="9481" max="9481" width="1.7265625" style="67" customWidth="1"/>
    <col min="9482" max="9484" width="8.7265625" style="67" customWidth="1"/>
    <col min="9485" max="9728" width="11.453125" style="67"/>
    <col min="9729" max="9732" width="8.7265625" style="67" customWidth="1"/>
    <col min="9733" max="9733" width="1.7265625" style="67" customWidth="1"/>
    <col min="9734" max="9734" width="9.7265625" style="67" customWidth="1"/>
    <col min="9735" max="9735" width="10.26953125" style="67" customWidth="1"/>
    <col min="9736" max="9736" width="10.7265625" style="67" customWidth="1"/>
    <col min="9737" max="9737" width="1.7265625" style="67" customWidth="1"/>
    <col min="9738" max="9740" width="8.7265625" style="67" customWidth="1"/>
    <col min="9741" max="9984" width="11.453125" style="67"/>
    <col min="9985" max="9988" width="8.7265625" style="67" customWidth="1"/>
    <col min="9989" max="9989" width="1.7265625" style="67" customWidth="1"/>
    <col min="9990" max="9990" width="9.7265625" style="67" customWidth="1"/>
    <col min="9991" max="9991" width="10.26953125" style="67" customWidth="1"/>
    <col min="9992" max="9992" width="10.7265625" style="67" customWidth="1"/>
    <col min="9993" max="9993" width="1.7265625" style="67" customWidth="1"/>
    <col min="9994" max="9996" width="8.7265625" style="67" customWidth="1"/>
    <col min="9997" max="10240" width="11.453125" style="67"/>
    <col min="10241" max="10244" width="8.7265625" style="67" customWidth="1"/>
    <col min="10245" max="10245" width="1.7265625" style="67" customWidth="1"/>
    <col min="10246" max="10246" width="9.7265625" style="67" customWidth="1"/>
    <col min="10247" max="10247" width="10.26953125" style="67" customWidth="1"/>
    <col min="10248" max="10248" width="10.7265625" style="67" customWidth="1"/>
    <col min="10249" max="10249" width="1.7265625" style="67" customWidth="1"/>
    <col min="10250" max="10252" width="8.7265625" style="67" customWidth="1"/>
    <col min="10253" max="10496" width="11.453125" style="67"/>
    <col min="10497" max="10500" width="8.7265625" style="67" customWidth="1"/>
    <col min="10501" max="10501" width="1.7265625" style="67" customWidth="1"/>
    <col min="10502" max="10502" width="9.7265625" style="67" customWidth="1"/>
    <col min="10503" max="10503" width="10.26953125" style="67" customWidth="1"/>
    <col min="10504" max="10504" width="10.7265625" style="67" customWidth="1"/>
    <col min="10505" max="10505" width="1.7265625" style="67" customWidth="1"/>
    <col min="10506" max="10508" width="8.7265625" style="67" customWidth="1"/>
    <col min="10509" max="10752" width="11.453125" style="67"/>
    <col min="10753" max="10756" width="8.7265625" style="67" customWidth="1"/>
    <col min="10757" max="10757" width="1.7265625" style="67" customWidth="1"/>
    <col min="10758" max="10758" width="9.7265625" style="67" customWidth="1"/>
    <col min="10759" max="10759" width="10.26953125" style="67" customWidth="1"/>
    <col min="10760" max="10760" width="10.7265625" style="67" customWidth="1"/>
    <col min="10761" max="10761" width="1.7265625" style="67" customWidth="1"/>
    <col min="10762" max="10764" width="8.7265625" style="67" customWidth="1"/>
    <col min="10765" max="11008" width="11.453125" style="67"/>
    <col min="11009" max="11012" width="8.7265625" style="67" customWidth="1"/>
    <col min="11013" max="11013" width="1.7265625" style="67" customWidth="1"/>
    <col min="11014" max="11014" width="9.7265625" style="67" customWidth="1"/>
    <col min="11015" max="11015" width="10.26953125" style="67" customWidth="1"/>
    <col min="11016" max="11016" width="10.7265625" style="67" customWidth="1"/>
    <col min="11017" max="11017" width="1.7265625" style="67" customWidth="1"/>
    <col min="11018" max="11020" width="8.7265625" style="67" customWidth="1"/>
    <col min="11021" max="11264" width="11.453125" style="67"/>
    <col min="11265" max="11268" width="8.7265625" style="67" customWidth="1"/>
    <col min="11269" max="11269" width="1.7265625" style="67" customWidth="1"/>
    <col min="11270" max="11270" width="9.7265625" style="67" customWidth="1"/>
    <col min="11271" max="11271" width="10.26953125" style="67" customWidth="1"/>
    <col min="11272" max="11272" width="10.7265625" style="67" customWidth="1"/>
    <col min="11273" max="11273" width="1.7265625" style="67" customWidth="1"/>
    <col min="11274" max="11276" width="8.7265625" style="67" customWidth="1"/>
    <col min="11277" max="11520" width="11.453125" style="67"/>
    <col min="11521" max="11524" width="8.7265625" style="67" customWidth="1"/>
    <col min="11525" max="11525" width="1.7265625" style="67" customWidth="1"/>
    <col min="11526" max="11526" width="9.7265625" style="67" customWidth="1"/>
    <col min="11527" max="11527" width="10.26953125" style="67" customWidth="1"/>
    <col min="11528" max="11528" width="10.7265625" style="67" customWidth="1"/>
    <col min="11529" max="11529" width="1.7265625" style="67" customWidth="1"/>
    <col min="11530" max="11532" width="8.7265625" style="67" customWidth="1"/>
    <col min="11533" max="11776" width="11.453125" style="67"/>
    <col min="11777" max="11780" width="8.7265625" style="67" customWidth="1"/>
    <col min="11781" max="11781" width="1.7265625" style="67" customWidth="1"/>
    <col min="11782" max="11782" width="9.7265625" style="67" customWidth="1"/>
    <col min="11783" max="11783" width="10.26953125" style="67" customWidth="1"/>
    <col min="11784" max="11784" width="10.7265625" style="67" customWidth="1"/>
    <col min="11785" max="11785" width="1.7265625" style="67" customWidth="1"/>
    <col min="11786" max="11788" width="8.7265625" style="67" customWidth="1"/>
    <col min="11789" max="12032" width="11.453125" style="67"/>
    <col min="12033" max="12036" width="8.7265625" style="67" customWidth="1"/>
    <col min="12037" max="12037" width="1.7265625" style="67" customWidth="1"/>
    <col min="12038" max="12038" width="9.7265625" style="67" customWidth="1"/>
    <col min="12039" max="12039" width="10.26953125" style="67" customWidth="1"/>
    <col min="12040" max="12040" width="10.7265625" style="67" customWidth="1"/>
    <col min="12041" max="12041" width="1.7265625" style="67" customWidth="1"/>
    <col min="12042" max="12044" width="8.7265625" style="67" customWidth="1"/>
    <col min="12045" max="12288" width="11.453125" style="67"/>
    <col min="12289" max="12292" width="8.7265625" style="67" customWidth="1"/>
    <col min="12293" max="12293" width="1.7265625" style="67" customWidth="1"/>
    <col min="12294" max="12294" width="9.7265625" style="67" customWidth="1"/>
    <col min="12295" max="12295" width="10.26953125" style="67" customWidth="1"/>
    <col min="12296" max="12296" width="10.7265625" style="67" customWidth="1"/>
    <col min="12297" max="12297" width="1.7265625" style="67" customWidth="1"/>
    <col min="12298" max="12300" width="8.7265625" style="67" customWidth="1"/>
    <col min="12301" max="12544" width="11.453125" style="67"/>
    <col min="12545" max="12548" width="8.7265625" style="67" customWidth="1"/>
    <col min="12549" max="12549" width="1.7265625" style="67" customWidth="1"/>
    <col min="12550" max="12550" width="9.7265625" style="67" customWidth="1"/>
    <col min="12551" max="12551" width="10.26953125" style="67" customWidth="1"/>
    <col min="12552" max="12552" width="10.7265625" style="67" customWidth="1"/>
    <col min="12553" max="12553" width="1.7265625" style="67" customWidth="1"/>
    <col min="12554" max="12556" width="8.7265625" style="67" customWidth="1"/>
    <col min="12557" max="12800" width="11.453125" style="67"/>
    <col min="12801" max="12804" width="8.7265625" style="67" customWidth="1"/>
    <col min="12805" max="12805" width="1.7265625" style="67" customWidth="1"/>
    <col min="12806" max="12806" width="9.7265625" style="67" customWidth="1"/>
    <col min="12807" max="12807" width="10.26953125" style="67" customWidth="1"/>
    <col min="12808" max="12808" width="10.7265625" style="67" customWidth="1"/>
    <col min="12809" max="12809" width="1.7265625" style="67" customWidth="1"/>
    <col min="12810" max="12812" width="8.7265625" style="67" customWidth="1"/>
    <col min="12813" max="13056" width="11.453125" style="67"/>
    <col min="13057" max="13060" width="8.7265625" style="67" customWidth="1"/>
    <col min="13061" max="13061" width="1.7265625" style="67" customWidth="1"/>
    <col min="13062" max="13062" width="9.7265625" style="67" customWidth="1"/>
    <col min="13063" max="13063" width="10.26953125" style="67" customWidth="1"/>
    <col min="13064" max="13064" width="10.7265625" style="67" customWidth="1"/>
    <col min="13065" max="13065" width="1.7265625" style="67" customWidth="1"/>
    <col min="13066" max="13068" width="8.7265625" style="67" customWidth="1"/>
    <col min="13069" max="13312" width="11.453125" style="67"/>
    <col min="13313" max="13316" width="8.7265625" style="67" customWidth="1"/>
    <col min="13317" max="13317" width="1.7265625" style="67" customWidth="1"/>
    <col min="13318" max="13318" width="9.7265625" style="67" customWidth="1"/>
    <col min="13319" max="13319" width="10.26953125" style="67" customWidth="1"/>
    <col min="13320" max="13320" width="10.7265625" style="67" customWidth="1"/>
    <col min="13321" max="13321" width="1.7265625" style="67" customWidth="1"/>
    <col min="13322" max="13324" width="8.7265625" style="67" customWidth="1"/>
    <col min="13325" max="13568" width="11.453125" style="67"/>
    <col min="13569" max="13572" width="8.7265625" style="67" customWidth="1"/>
    <col min="13573" max="13573" width="1.7265625" style="67" customWidth="1"/>
    <col min="13574" max="13574" width="9.7265625" style="67" customWidth="1"/>
    <col min="13575" max="13575" width="10.26953125" style="67" customWidth="1"/>
    <col min="13576" max="13576" width="10.7265625" style="67" customWidth="1"/>
    <col min="13577" max="13577" width="1.7265625" style="67" customWidth="1"/>
    <col min="13578" max="13580" width="8.7265625" style="67" customWidth="1"/>
    <col min="13581" max="13824" width="11.453125" style="67"/>
    <col min="13825" max="13828" width="8.7265625" style="67" customWidth="1"/>
    <col min="13829" max="13829" width="1.7265625" style="67" customWidth="1"/>
    <col min="13830" max="13830" width="9.7265625" style="67" customWidth="1"/>
    <col min="13831" max="13831" width="10.26953125" style="67" customWidth="1"/>
    <col min="13832" max="13832" width="10.7265625" style="67" customWidth="1"/>
    <col min="13833" max="13833" width="1.7265625" style="67" customWidth="1"/>
    <col min="13834" max="13836" width="8.7265625" style="67" customWidth="1"/>
    <col min="13837" max="14080" width="11.453125" style="67"/>
    <col min="14081" max="14084" width="8.7265625" style="67" customWidth="1"/>
    <col min="14085" max="14085" width="1.7265625" style="67" customWidth="1"/>
    <col min="14086" max="14086" width="9.7265625" style="67" customWidth="1"/>
    <col min="14087" max="14087" width="10.26953125" style="67" customWidth="1"/>
    <col min="14088" max="14088" width="10.7265625" style="67" customWidth="1"/>
    <col min="14089" max="14089" width="1.7265625" style="67" customWidth="1"/>
    <col min="14090" max="14092" width="8.7265625" style="67" customWidth="1"/>
    <col min="14093" max="14336" width="11.453125" style="67"/>
    <col min="14337" max="14340" width="8.7265625" style="67" customWidth="1"/>
    <col min="14341" max="14341" width="1.7265625" style="67" customWidth="1"/>
    <col min="14342" max="14342" width="9.7265625" style="67" customWidth="1"/>
    <col min="14343" max="14343" width="10.26953125" style="67" customWidth="1"/>
    <col min="14344" max="14344" width="10.7265625" style="67" customWidth="1"/>
    <col min="14345" max="14345" width="1.7265625" style="67" customWidth="1"/>
    <col min="14346" max="14348" width="8.7265625" style="67" customWidth="1"/>
    <col min="14349" max="14592" width="11.453125" style="67"/>
    <col min="14593" max="14596" width="8.7265625" style="67" customWidth="1"/>
    <col min="14597" max="14597" width="1.7265625" style="67" customWidth="1"/>
    <col min="14598" max="14598" width="9.7265625" style="67" customWidth="1"/>
    <col min="14599" max="14599" width="10.26953125" style="67" customWidth="1"/>
    <col min="14600" max="14600" width="10.7265625" style="67" customWidth="1"/>
    <col min="14601" max="14601" width="1.7265625" style="67" customWidth="1"/>
    <col min="14602" max="14604" width="8.7265625" style="67" customWidth="1"/>
    <col min="14605" max="14848" width="11.453125" style="67"/>
    <col min="14849" max="14852" width="8.7265625" style="67" customWidth="1"/>
    <col min="14853" max="14853" width="1.7265625" style="67" customWidth="1"/>
    <col min="14854" max="14854" width="9.7265625" style="67" customWidth="1"/>
    <col min="14855" max="14855" width="10.26953125" style="67" customWidth="1"/>
    <col min="14856" max="14856" width="10.7265625" style="67" customWidth="1"/>
    <col min="14857" max="14857" width="1.7265625" style="67" customWidth="1"/>
    <col min="14858" max="14860" width="8.7265625" style="67" customWidth="1"/>
    <col min="14861" max="15104" width="11.453125" style="67"/>
    <col min="15105" max="15108" width="8.7265625" style="67" customWidth="1"/>
    <col min="15109" max="15109" width="1.7265625" style="67" customWidth="1"/>
    <col min="15110" max="15110" width="9.7265625" style="67" customWidth="1"/>
    <col min="15111" max="15111" width="10.26953125" style="67" customWidth="1"/>
    <col min="15112" max="15112" width="10.7265625" style="67" customWidth="1"/>
    <col min="15113" max="15113" width="1.7265625" style="67" customWidth="1"/>
    <col min="15114" max="15116" width="8.7265625" style="67" customWidth="1"/>
    <col min="15117" max="15360" width="11.453125" style="67"/>
    <col min="15361" max="15364" width="8.7265625" style="67" customWidth="1"/>
    <col min="15365" max="15365" width="1.7265625" style="67" customWidth="1"/>
    <col min="15366" max="15366" width="9.7265625" style="67" customWidth="1"/>
    <col min="15367" max="15367" width="10.26953125" style="67" customWidth="1"/>
    <col min="15368" max="15368" width="10.7265625" style="67" customWidth="1"/>
    <col min="15369" max="15369" width="1.7265625" style="67" customWidth="1"/>
    <col min="15370" max="15372" width="8.7265625" style="67" customWidth="1"/>
    <col min="15373" max="15616" width="11.453125" style="67"/>
    <col min="15617" max="15620" width="8.7265625" style="67" customWidth="1"/>
    <col min="15621" max="15621" width="1.7265625" style="67" customWidth="1"/>
    <col min="15622" max="15622" width="9.7265625" style="67" customWidth="1"/>
    <col min="15623" max="15623" width="10.26953125" style="67" customWidth="1"/>
    <col min="15624" max="15624" width="10.7265625" style="67" customWidth="1"/>
    <col min="15625" max="15625" width="1.7265625" style="67" customWidth="1"/>
    <col min="15626" max="15628" width="8.7265625" style="67" customWidth="1"/>
    <col min="15629" max="15872" width="11.453125" style="67"/>
    <col min="15873" max="15876" width="8.7265625" style="67" customWidth="1"/>
    <col min="15877" max="15877" width="1.7265625" style="67" customWidth="1"/>
    <col min="15878" max="15878" width="9.7265625" style="67" customWidth="1"/>
    <col min="15879" max="15879" width="10.26953125" style="67" customWidth="1"/>
    <col min="15880" max="15880" width="10.7265625" style="67" customWidth="1"/>
    <col min="15881" max="15881" width="1.7265625" style="67" customWidth="1"/>
    <col min="15882" max="15884" width="8.7265625" style="67" customWidth="1"/>
    <col min="15885" max="16128" width="11.453125" style="67"/>
    <col min="16129" max="16132" width="8.7265625" style="67" customWidth="1"/>
    <col min="16133" max="16133" width="1.7265625" style="67" customWidth="1"/>
    <col min="16134" max="16134" width="9.7265625" style="67" customWidth="1"/>
    <col min="16135" max="16135" width="10.26953125" style="67" customWidth="1"/>
    <col min="16136" max="16136" width="10.7265625" style="67" customWidth="1"/>
    <col min="16137" max="16137" width="1.7265625" style="67" customWidth="1"/>
    <col min="16138" max="16140" width="8.7265625" style="67" customWidth="1"/>
    <col min="16141" max="16384" width="11.453125" style="67"/>
  </cols>
  <sheetData>
    <row r="1" spans="1:12" ht="14" x14ac:dyDescent="0.3">
      <c r="A1" s="6" t="s">
        <v>54</v>
      </c>
      <c r="B1" s="7"/>
      <c r="C1" s="7"/>
      <c r="D1" s="7"/>
      <c r="E1" s="8"/>
      <c r="F1" s="7"/>
      <c r="G1" s="7"/>
      <c r="H1" s="7"/>
      <c r="I1" s="8"/>
      <c r="J1" s="7"/>
      <c r="K1" s="7"/>
      <c r="L1" s="7"/>
    </row>
    <row r="2" spans="1:12" ht="14" x14ac:dyDescent="0.3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</row>
    <row r="3" spans="1:12" x14ac:dyDescent="0.25">
      <c r="A3" s="66"/>
      <c r="B3" s="61"/>
      <c r="C3" s="61"/>
      <c r="D3" s="61"/>
      <c r="E3" s="58"/>
      <c r="F3" s="61"/>
      <c r="G3" s="61"/>
      <c r="H3" s="61"/>
      <c r="I3" s="58"/>
      <c r="J3" s="61"/>
      <c r="K3" s="61"/>
      <c r="L3" s="61"/>
    </row>
    <row r="4" spans="1:12" x14ac:dyDescent="0.25">
      <c r="A4" s="74"/>
      <c r="B4" s="75" t="s">
        <v>34</v>
      </c>
      <c r="C4" s="75"/>
      <c r="D4" s="75"/>
      <c r="E4" s="76"/>
      <c r="F4" s="75" t="s">
        <v>49</v>
      </c>
      <c r="G4" s="75"/>
      <c r="H4" s="75"/>
      <c r="I4" s="76"/>
      <c r="J4" s="75" t="s">
        <v>55</v>
      </c>
      <c r="K4" s="75"/>
      <c r="L4" s="75"/>
    </row>
    <row r="5" spans="1:12" x14ac:dyDescent="0.25">
      <c r="A5" s="77"/>
      <c r="B5" s="78" t="s">
        <v>56</v>
      </c>
      <c r="C5" s="78" t="s">
        <v>57</v>
      </c>
      <c r="D5" s="78"/>
      <c r="E5" s="79"/>
      <c r="F5" s="78" t="s">
        <v>56</v>
      </c>
      <c r="G5" s="78" t="s">
        <v>57</v>
      </c>
      <c r="H5" s="78"/>
      <c r="I5" s="79"/>
      <c r="J5" s="78" t="s">
        <v>56</v>
      </c>
      <c r="K5" s="78" t="s">
        <v>57</v>
      </c>
      <c r="L5" s="78"/>
    </row>
    <row r="6" spans="1:12" x14ac:dyDescent="0.25">
      <c r="A6" s="22"/>
      <c r="B6" s="23" t="s">
        <v>58</v>
      </c>
      <c r="C6" s="23" t="s">
        <v>58</v>
      </c>
      <c r="D6" s="23" t="s">
        <v>35</v>
      </c>
      <c r="E6" s="25"/>
      <c r="F6" s="23" t="s">
        <v>58</v>
      </c>
      <c r="G6" s="23" t="s">
        <v>58</v>
      </c>
      <c r="H6" s="23" t="s">
        <v>35</v>
      </c>
      <c r="I6" s="25"/>
      <c r="J6" s="23" t="s">
        <v>58</v>
      </c>
      <c r="K6" s="23" t="s">
        <v>58</v>
      </c>
      <c r="L6" s="23" t="s">
        <v>35</v>
      </c>
    </row>
    <row r="7" spans="1:12" x14ac:dyDescent="0.25">
      <c r="A7" s="27"/>
      <c r="B7" s="28"/>
      <c r="C7" s="28"/>
      <c r="D7" s="28"/>
      <c r="E7" s="30"/>
      <c r="F7" s="28"/>
      <c r="G7" s="28"/>
      <c r="H7" s="28"/>
      <c r="I7" s="30"/>
      <c r="J7" s="28"/>
      <c r="K7" s="28"/>
      <c r="L7" s="28"/>
    </row>
    <row r="8" spans="1:12" x14ac:dyDescent="0.25">
      <c r="A8" s="31">
        <v>1986</v>
      </c>
      <c r="B8" s="32">
        <v>67630</v>
      </c>
      <c r="C8" s="32">
        <v>6876</v>
      </c>
      <c r="D8" s="32">
        <v>74506</v>
      </c>
      <c r="E8" s="33"/>
      <c r="F8" s="32">
        <v>5650423</v>
      </c>
      <c r="G8" s="32">
        <v>446994</v>
      </c>
      <c r="H8" s="32">
        <v>6097417</v>
      </c>
      <c r="I8" s="33"/>
      <c r="J8" s="32">
        <v>46410</v>
      </c>
      <c r="K8" s="32">
        <v>644</v>
      </c>
      <c r="L8" s="32">
        <v>47054</v>
      </c>
    </row>
    <row r="9" spans="1:12" x14ac:dyDescent="0.25">
      <c r="A9" s="36">
        <v>1987</v>
      </c>
      <c r="B9" s="37">
        <f>'[1]6.12.5'!B9+'[1]6.12.8'!B9+'[1]6.12.9'!B9</f>
        <v>70894</v>
      </c>
      <c r="C9" s="37">
        <f>'[1]6.12.5'!C9+'[1]6.12.8'!C9+'[1]6.12.9'!C9</f>
        <v>14070</v>
      </c>
      <c r="D9" s="37">
        <f t="shared" ref="D9:D32" si="0">SUM(B9:C9)</f>
        <v>84964</v>
      </c>
      <c r="E9" s="39"/>
      <c r="F9" s="37">
        <f>'[1]6.12.5'!F9+'[1]6.12.8'!F9+'[1]6.12.9'!F9</f>
        <v>6299195</v>
      </c>
      <c r="G9" s="37">
        <f>'[1]6.12.5'!G9+'[1]6.12.8'!G9+'[1]6.12.9'!G9</f>
        <v>1476320</v>
      </c>
      <c r="H9" s="37">
        <f t="shared" ref="H9:H32" si="1">SUM(F9:G9)</f>
        <v>7775515</v>
      </c>
      <c r="I9" s="39"/>
      <c r="J9" s="37">
        <f>'[1]6.12.5'!J9+'[1]6.12.8'!J9+'[1]6.12.9'!J9</f>
        <v>43699</v>
      </c>
      <c r="K9" s="37">
        <f>'[1]6.12.5'!K9+'[1]6.12.8'!K9+'[1]6.12.9'!K9</f>
        <v>1357</v>
      </c>
      <c r="L9" s="37">
        <f t="shared" ref="L9:L32" si="2">SUM(J9:K9)</f>
        <v>45056</v>
      </c>
    </row>
    <row r="10" spans="1:12" x14ac:dyDescent="0.25">
      <c r="A10" s="31">
        <v>1988</v>
      </c>
      <c r="B10" s="32">
        <f>'[1]6.12.5'!B10+'[1]6.12.8'!B10+'[1]6.12.9'!B10</f>
        <v>82432</v>
      </c>
      <c r="C10" s="32">
        <f>'[1]6.12.5'!C10+'[1]6.12.8'!C10+'[1]6.12.9'!C10</f>
        <v>21817</v>
      </c>
      <c r="D10" s="32">
        <f t="shared" si="0"/>
        <v>104249</v>
      </c>
      <c r="E10" s="33"/>
      <c r="F10" s="32">
        <f>'[1]6.12.5'!F10+'[1]6.12.8'!F10+'[1]6.12.9'!F10</f>
        <v>6817873</v>
      </c>
      <c r="G10" s="32">
        <f>'[1]6.12.5'!G10+'[1]6.12.8'!G10+'[1]6.12.9'!G10</f>
        <v>1532751</v>
      </c>
      <c r="H10" s="32">
        <f t="shared" si="1"/>
        <v>8350624</v>
      </c>
      <c r="I10" s="33"/>
      <c r="J10" s="32">
        <f>'[1]6.12.5'!J10+'[1]6.12.8'!J10+'[1]6.12.9'!J10</f>
        <v>51137</v>
      </c>
      <c r="K10" s="32">
        <f>'[1]6.12.5'!K10+'[1]6.12.8'!K10+'[1]6.12.9'!K10</f>
        <v>4505</v>
      </c>
      <c r="L10" s="32">
        <f t="shared" si="2"/>
        <v>55642</v>
      </c>
    </row>
    <row r="11" spans="1:12" x14ac:dyDescent="0.25">
      <c r="A11" s="36">
        <v>1989</v>
      </c>
      <c r="B11" s="37">
        <f>'[1]6.12.5'!B11+'[1]6.12.8'!B11+'[1]6.12.9'!B11</f>
        <v>92819</v>
      </c>
      <c r="C11" s="37">
        <f>'[1]6.12.5'!C11+'[1]6.12.8'!C11+'[1]6.12.9'!C11</f>
        <v>19948</v>
      </c>
      <c r="D11" s="37">
        <f t="shared" si="0"/>
        <v>112767</v>
      </c>
      <c r="E11" s="39"/>
      <c r="F11" s="37">
        <f>'[1]6.12.5'!F11+'[1]6.12.8'!F11+'[1]6.12.9'!F11</f>
        <v>7567000</v>
      </c>
      <c r="G11" s="37">
        <f>'[1]6.12.5'!G11+'[1]6.12.8'!G11+'[1]6.12.9'!G11</f>
        <v>1472473</v>
      </c>
      <c r="H11" s="37">
        <f t="shared" si="1"/>
        <v>9039473</v>
      </c>
      <c r="I11" s="39"/>
      <c r="J11" s="37">
        <f>'[1]6.12.5'!J11+'[1]6.12.8'!J11+'[1]6.12.9'!J11</f>
        <v>59039</v>
      </c>
      <c r="K11" s="37">
        <f>'[1]6.12.5'!K11+'[1]6.12.8'!K11+'[1]6.12.9'!K11</f>
        <v>2283</v>
      </c>
      <c r="L11" s="37">
        <f t="shared" si="2"/>
        <v>61322</v>
      </c>
    </row>
    <row r="12" spans="1:12" x14ac:dyDescent="0.25">
      <c r="A12" s="31">
        <v>1990</v>
      </c>
      <c r="B12" s="32">
        <f>'[1]6.12.5'!B12+'[1]6.12.8'!B12+'[1]6.12.9'!B12</f>
        <v>104719</v>
      </c>
      <c r="C12" s="32">
        <f>'[1]6.12.5'!C12+'[1]6.12.8'!C12+'[1]6.12.9'!C12</f>
        <v>17390</v>
      </c>
      <c r="D12" s="32">
        <f t="shared" si="0"/>
        <v>122109</v>
      </c>
      <c r="E12" s="33"/>
      <c r="F12" s="32">
        <f>'[1]6.12.5'!F12+'[1]6.12.8'!F12+'[1]6.12.9'!F12</f>
        <v>8367482</v>
      </c>
      <c r="G12" s="32">
        <f>'[1]6.12.5'!G12+'[1]6.12.8'!G12+'[1]6.12.9'!G12</f>
        <v>1165004</v>
      </c>
      <c r="H12" s="32">
        <f t="shared" si="1"/>
        <v>9532486</v>
      </c>
      <c r="I12" s="33"/>
      <c r="J12" s="32">
        <f>'[1]6.12.5'!J12+'[1]6.12.8'!J12+'[1]6.12.9'!J12</f>
        <v>63039</v>
      </c>
      <c r="K12" s="32">
        <f>'[1]6.12.5'!K12+'[1]6.12.8'!K12+'[1]6.12.9'!K12</f>
        <v>2990</v>
      </c>
      <c r="L12" s="32">
        <f t="shared" si="2"/>
        <v>66029</v>
      </c>
    </row>
    <row r="13" spans="1:12" x14ac:dyDescent="0.25">
      <c r="A13" s="36">
        <v>1991</v>
      </c>
      <c r="B13" s="37">
        <f>'[1]6.12.5'!B13+'[1]6.12.8'!B13+'[1]6.12.9'!B13</f>
        <v>111907</v>
      </c>
      <c r="C13" s="37">
        <f>'[1]6.12.5'!C13+'[1]6.12.8'!C13+'[1]6.12.9'!C13</f>
        <v>14481</v>
      </c>
      <c r="D13" s="37">
        <f t="shared" si="0"/>
        <v>126388</v>
      </c>
      <c r="E13" s="39"/>
      <c r="F13" s="37">
        <f>'[1]6.12.5'!F13+'[1]6.12.8'!F13+'[1]6.12.9'!F13</f>
        <v>8204568</v>
      </c>
      <c r="G13" s="37">
        <f>'[1]6.12.5'!G13+'[1]6.12.8'!G13+'[1]6.12.9'!G13</f>
        <v>1131984</v>
      </c>
      <c r="H13" s="37">
        <f t="shared" si="1"/>
        <v>9336552</v>
      </c>
      <c r="I13" s="39"/>
      <c r="J13" s="37">
        <f>'[1]6.12.5'!J13+'[1]6.12.8'!J13+'[1]6.12.9'!J13</f>
        <v>61947</v>
      </c>
      <c r="K13" s="37">
        <f>'[1]6.12.5'!K13+'[1]6.12.8'!K13+'[1]6.12.9'!K13</f>
        <v>739</v>
      </c>
      <c r="L13" s="37">
        <f t="shared" si="2"/>
        <v>62686</v>
      </c>
    </row>
    <row r="14" spans="1:12" x14ac:dyDescent="0.25">
      <c r="A14" s="31">
        <v>1992</v>
      </c>
      <c r="B14" s="32">
        <f>'[1]6.12.5'!B14+'[1]6.12.8'!B14+'[1]6.12.9'!B14</f>
        <v>125058</v>
      </c>
      <c r="C14" s="32">
        <f>'[1]6.12.5'!C14+'[1]6.12.8'!C14+'[1]6.12.9'!C14</f>
        <v>14337</v>
      </c>
      <c r="D14" s="32">
        <f t="shared" si="0"/>
        <v>139395</v>
      </c>
      <c r="E14" s="33"/>
      <c r="F14" s="32">
        <f>'[1]6.12.5'!F14+'[1]6.12.8'!F14+'[1]6.12.9'!F14</f>
        <v>9287415</v>
      </c>
      <c r="G14" s="32">
        <f>'[1]6.12.5'!G14+'[1]6.12.8'!G14+'[1]6.12.9'!G14</f>
        <v>1135746</v>
      </c>
      <c r="H14" s="32">
        <f t="shared" si="1"/>
        <v>10423161</v>
      </c>
      <c r="I14" s="33"/>
      <c r="J14" s="32">
        <f>'[1]6.12.5'!J14+'[1]6.12.8'!J14+'[1]6.12.9'!J14</f>
        <v>70531</v>
      </c>
      <c r="K14" s="32">
        <f>'[1]6.12.5'!K14+'[1]6.12.8'!K14+'[1]6.12.9'!K14</f>
        <v>2093</v>
      </c>
      <c r="L14" s="32">
        <f t="shared" si="2"/>
        <v>72624</v>
      </c>
    </row>
    <row r="15" spans="1:12" x14ac:dyDescent="0.25">
      <c r="A15" s="36">
        <v>1993</v>
      </c>
      <c r="B15" s="37">
        <f>'[1]6.12.5'!B15+'[1]6.12.8'!B15+'[1]6.12.9'!B15</f>
        <v>122516</v>
      </c>
      <c r="C15" s="37">
        <f>'[1]6.12.5'!C15+'[1]6.12.8'!C15+'[1]6.12.9'!C15</f>
        <v>13970</v>
      </c>
      <c r="D15" s="37">
        <f t="shared" si="0"/>
        <v>136486</v>
      </c>
      <c r="E15" s="39"/>
      <c r="F15" s="37">
        <f>'[1]6.12.5'!F15+'[1]6.12.8'!F15+'[1]6.12.9'!F15</f>
        <v>8979546</v>
      </c>
      <c r="G15" s="37">
        <f>'[1]6.12.5'!G15+'[1]6.12.8'!G15+'[1]6.12.9'!G15</f>
        <v>1033787</v>
      </c>
      <c r="H15" s="37">
        <f t="shared" si="1"/>
        <v>10013333</v>
      </c>
      <c r="I15" s="39"/>
      <c r="J15" s="37">
        <f>'[1]6.12.5'!J15+'[1]6.12.8'!J15+'[1]6.12.9'!J15</f>
        <v>55639</v>
      </c>
      <c r="K15" s="37">
        <f>'[1]6.12.5'!K15+'[1]6.12.8'!K15+'[1]6.12.9'!K15</f>
        <v>1935</v>
      </c>
      <c r="L15" s="37">
        <f t="shared" si="2"/>
        <v>57574</v>
      </c>
    </row>
    <row r="16" spans="1:12" x14ac:dyDescent="0.25">
      <c r="A16" s="31">
        <v>1994</v>
      </c>
      <c r="B16" s="32">
        <f>'[1]6.12.5'!B16+'[1]6.12.8'!B16+'[1]6.12.9'!B16</f>
        <v>126100</v>
      </c>
      <c r="C16" s="32">
        <f>'[1]6.12.5'!C16+'[1]6.12.8'!C16+'[1]6.12.9'!C16</f>
        <v>20578</v>
      </c>
      <c r="D16" s="32">
        <f t="shared" si="0"/>
        <v>146678</v>
      </c>
      <c r="E16" s="33"/>
      <c r="F16" s="32">
        <f>'[1]6.12.5'!F16+'[1]6.12.8'!F16+'[1]6.12.9'!F16</f>
        <v>9653841</v>
      </c>
      <c r="G16" s="32">
        <f>'[1]6.12.5'!G16+'[1]6.12.8'!G16+'[1]6.12.9'!G16</f>
        <v>1331493</v>
      </c>
      <c r="H16" s="32">
        <f t="shared" si="1"/>
        <v>10985334</v>
      </c>
      <c r="I16" s="33"/>
      <c r="J16" s="32">
        <f>'[1]6.12.5'!J16+'[1]6.12.8'!J16+'[1]6.12.9'!J16</f>
        <v>47810.464</v>
      </c>
      <c r="K16" s="32">
        <f>'[1]6.12.5'!K16+'[1]6.12.8'!K16+'[1]6.12.9'!K16</f>
        <v>11113.682000000001</v>
      </c>
      <c r="L16" s="32">
        <f t="shared" si="2"/>
        <v>58924.146000000001</v>
      </c>
    </row>
    <row r="17" spans="1:12" x14ac:dyDescent="0.25">
      <c r="A17" s="36">
        <v>1995</v>
      </c>
      <c r="B17" s="37">
        <f>'[1]6.12.5'!B17+'[1]6.12.8'!B17+'[1]6.12.9'!B17</f>
        <v>136805</v>
      </c>
      <c r="C17" s="37">
        <f>'[1]6.12.5'!C17+'[1]6.12.8'!C17+'[1]6.12.9'!C17</f>
        <v>22971</v>
      </c>
      <c r="D17" s="37">
        <f t="shared" si="0"/>
        <v>159776</v>
      </c>
      <c r="E17" s="39"/>
      <c r="F17" s="37">
        <f>'[1]6.12.5'!F17+'[1]6.12.8'!F17+'[1]6.12.9'!F17</f>
        <v>10805362</v>
      </c>
      <c r="G17" s="37">
        <f>'[1]6.12.5'!G17+'[1]6.12.8'!G17+'[1]6.12.9'!G17</f>
        <v>1507147</v>
      </c>
      <c r="H17" s="37">
        <f t="shared" si="1"/>
        <v>12312509</v>
      </c>
      <c r="I17" s="39"/>
      <c r="J17" s="37">
        <f>'[1]6.12.5'!J17+'[1]6.12.8'!J17+'[1]6.12.9'!J17</f>
        <v>54946.885000000002</v>
      </c>
      <c r="K17" s="37">
        <f>'[1]6.12.5'!K17+'[1]6.12.8'!K17+'[1]6.12.9'!K17</f>
        <v>13582.665999999999</v>
      </c>
      <c r="L17" s="37">
        <f t="shared" si="2"/>
        <v>68529.551000000007</v>
      </c>
    </row>
    <row r="18" spans="1:12" x14ac:dyDescent="0.25">
      <c r="A18" s="31">
        <v>1996</v>
      </c>
      <c r="B18" s="32">
        <f>'[1]6.12.5'!B18+'[1]6.12.8'!B18+'[1]6.12.9'!B18</f>
        <v>159234</v>
      </c>
      <c r="C18" s="32">
        <f>'[1]6.12.5'!C18+'[1]6.12.8'!C18+'[1]6.12.9'!C18</f>
        <v>24482</v>
      </c>
      <c r="D18" s="32">
        <f t="shared" si="0"/>
        <v>183716</v>
      </c>
      <c r="E18" s="33"/>
      <c r="F18" s="32">
        <f>'[1]6.12.5'!F18+'[1]6.12.8'!F18+'[1]6.12.9'!F18</f>
        <v>12276303</v>
      </c>
      <c r="G18" s="32">
        <f>'[1]6.12.5'!G18+'[1]6.12.8'!G18+'[1]6.12.9'!G18</f>
        <v>1547784</v>
      </c>
      <c r="H18" s="32">
        <f t="shared" si="1"/>
        <v>13824087</v>
      </c>
      <c r="I18" s="33"/>
      <c r="J18" s="32">
        <f>'[1]6.12.5'!J18+'[1]6.12.8'!J18+'[1]6.12.9'!J18</f>
        <v>59966</v>
      </c>
      <c r="K18" s="32">
        <f>'[1]6.12.5'!K18+'[1]6.12.8'!K18+'[1]6.12.9'!K18</f>
        <v>16761</v>
      </c>
      <c r="L18" s="32">
        <f t="shared" si="2"/>
        <v>76727</v>
      </c>
    </row>
    <row r="19" spans="1:12" x14ac:dyDescent="0.25">
      <c r="A19" s="36">
        <v>1997</v>
      </c>
      <c r="B19" s="37">
        <f>'[1]6.12.5'!B19+'[1]6.12.8'!B19+'[1]6.12.9'!B19</f>
        <v>186039</v>
      </c>
      <c r="C19" s="37">
        <f>'[1]6.12.5'!C19+'[1]6.12.8'!C19+'[1]6.12.9'!C19</f>
        <v>28857</v>
      </c>
      <c r="D19" s="37">
        <f t="shared" si="0"/>
        <v>214896</v>
      </c>
      <c r="E19" s="39"/>
      <c r="F19" s="37">
        <f>'[1]6.12.5'!F19+'[1]6.12.8'!F19+'[1]6.12.9'!F19</f>
        <v>13861478</v>
      </c>
      <c r="G19" s="37">
        <f>'[1]6.12.5'!G19+'[1]6.12.8'!G19+'[1]6.12.9'!G19</f>
        <v>1725680</v>
      </c>
      <c r="H19" s="37">
        <f t="shared" si="1"/>
        <v>15587158</v>
      </c>
      <c r="I19" s="39"/>
      <c r="J19" s="37">
        <f>'[1]6.12.5'!J19+'[1]6.12.8'!J19+'[1]6.12.9'!J19</f>
        <v>64953</v>
      </c>
      <c r="K19" s="37">
        <f>'[1]6.12.5'!K19+'[1]6.12.8'!K19+'[1]6.12.9'!K19</f>
        <v>13053</v>
      </c>
      <c r="L19" s="37">
        <f t="shared" si="2"/>
        <v>78006</v>
      </c>
    </row>
    <row r="20" spans="1:12" x14ac:dyDescent="0.25">
      <c r="A20" s="31">
        <v>1998</v>
      </c>
      <c r="B20" s="32">
        <f>'[1]6.12.5'!B20+'[1]6.12.8'!B20+'[1]6.12.9'!B20</f>
        <v>194966</v>
      </c>
      <c r="C20" s="32">
        <f>'[1]6.12.5'!C20+'[1]6.12.8'!C20+'[1]6.12.9'!C20</f>
        <v>26505</v>
      </c>
      <c r="D20" s="32">
        <f t="shared" si="0"/>
        <v>221471</v>
      </c>
      <c r="E20" s="33"/>
      <c r="F20" s="32">
        <f>'[1]6.12.5'!F20+'[1]6.12.8'!F20+'[1]6.12.9'!F20</f>
        <v>15091118</v>
      </c>
      <c r="G20" s="32">
        <f>'[1]6.12.5'!G20+'[1]6.12.8'!G20+'[1]6.12.9'!G20</f>
        <v>1797353</v>
      </c>
      <c r="H20" s="32">
        <f t="shared" si="1"/>
        <v>16888471</v>
      </c>
      <c r="I20" s="33"/>
      <c r="J20" s="32">
        <f>'[1]6.12.5'!J20+'[1]6.12.8'!J20+'[1]6.12.9'!J20</f>
        <v>65473</v>
      </c>
      <c r="K20" s="32">
        <f>'[1]6.12.5'!K20+'[1]6.12.8'!K20+'[1]6.12.9'!K20</f>
        <v>11743</v>
      </c>
      <c r="L20" s="32">
        <f t="shared" si="2"/>
        <v>77216</v>
      </c>
    </row>
    <row r="21" spans="1:12" x14ac:dyDescent="0.25">
      <c r="A21" s="36">
        <v>1999</v>
      </c>
      <c r="B21" s="37">
        <f>'[1]6.12.5'!B21+'[1]6.12.8'!B21+'[1]6.12.9'!B21</f>
        <v>211662</v>
      </c>
      <c r="C21" s="37">
        <f>'[1]6.12.5'!C21+'[1]6.12.8'!C21+'[1]6.12.9'!C21</f>
        <v>26311</v>
      </c>
      <c r="D21" s="37">
        <f t="shared" si="0"/>
        <v>237973</v>
      </c>
      <c r="E21" s="39"/>
      <c r="F21" s="37">
        <f>'[1]6.12.5'!F21+'[1]6.12.8'!F21+'[1]6.12.9'!F21</f>
        <v>16430608</v>
      </c>
      <c r="G21" s="37">
        <f>'[1]6.12.5'!G21+'[1]6.12.8'!G21+'[1]6.12.9'!G21</f>
        <v>1921890</v>
      </c>
      <c r="H21" s="37">
        <f t="shared" si="1"/>
        <v>18352498</v>
      </c>
      <c r="I21" s="39"/>
      <c r="J21" s="37">
        <f>'[1]6.12.5'!J21+'[1]6.12.8'!J21+'[1]6.12.9'!J21</f>
        <v>76458.399999999994</v>
      </c>
      <c r="K21" s="37">
        <f>'[1]6.12.5'!K21+'[1]6.12.8'!K21+'[1]6.12.9'!K21</f>
        <v>9932.5</v>
      </c>
      <c r="L21" s="37">
        <f t="shared" si="2"/>
        <v>86390.9</v>
      </c>
    </row>
    <row r="22" spans="1:12" x14ac:dyDescent="0.25">
      <c r="A22" s="31">
        <v>2000</v>
      </c>
      <c r="B22" s="32">
        <f>'[1]6.12.5'!B22+'[1]6.12.8'!B22+'[1]6.12.9'!B22</f>
        <v>234385</v>
      </c>
      <c r="C22" s="32">
        <f>'[1]6.12.5'!C22+'[1]6.12.8'!C22+'[1]6.12.9'!C22</f>
        <v>28336</v>
      </c>
      <c r="D22" s="32">
        <f t="shared" si="0"/>
        <v>262721</v>
      </c>
      <c r="E22" s="33"/>
      <c r="F22" s="32">
        <f>'[1]6.12.5'!F22+'[1]6.12.8'!F22+'[1]6.12.9'!F22</f>
        <v>18443543</v>
      </c>
      <c r="G22" s="32">
        <f>'[1]6.12.5'!G22+'[1]6.12.8'!G22+'[1]6.12.9'!G22</f>
        <v>2245299</v>
      </c>
      <c r="H22" s="32">
        <f t="shared" si="1"/>
        <v>20688842</v>
      </c>
      <c r="I22" s="33"/>
      <c r="J22" s="32">
        <f>'[1]6.12.5'!J22+'[1]6.12.8'!J22+'[1]6.12.9'!J22</f>
        <v>74028.668999999994</v>
      </c>
      <c r="K22" s="32">
        <f>'[1]6.12.5'!K22+'[1]6.12.8'!K22+'[1]6.12.9'!K22</f>
        <v>13677.151000000002</v>
      </c>
      <c r="L22" s="32">
        <f t="shared" si="2"/>
        <v>87705.819999999992</v>
      </c>
    </row>
    <row r="23" spans="1:12" x14ac:dyDescent="0.25">
      <c r="A23" s="36">
        <v>2001</v>
      </c>
      <c r="B23" s="37">
        <f>'[1]6.12.5'!B23+'[1]6.12.8'!B23+'[1]6.12.9'!B23</f>
        <v>249978</v>
      </c>
      <c r="C23" s="37">
        <f>'[1]6.12.5'!C23+'[1]6.12.8'!C23+'[1]6.12.9'!C23</f>
        <v>28524</v>
      </c>
      <c r="D23" s="37">
        <f t="shared" si="0"/>
        <v>278502</v>
      </c>
      <c r="E23" s="39"/>
      <c r="F23" s="37">
        <f>'[1]6.12.5'!F23+'[1]6.12.8'!F23+'[1]6.12.9'!F23</f>
        <v>19763340</v>
      </c>
      <c r="G23" s="37">
        <f>'[1]6.12.5'!G23+'[1]6.12.8'!G23+'[1]6.12.9'!G23</f>
        <v>2117861</v>
      </c>
      <c r="H23" s="37">
        <f t="shared" si="1"/>
        <v>21881201</v>
      </c>
      <c r="I23" s="39"/>
      <c r="J23" s="37">
        <f>'[1]6.12.5'!J23+'[1]6.12.8'!J23+'[1]6.12.9'!J23</f>
        <v>58065.574000000001</v>
      </c>
      <c r="K23" s="37">
        <f>'[1]6.12.5'!K23+'[1]6.12.8'!K23+'[1]6.12.9'!K23</f>
        <v>19079.282999999999</v>
      </c>
      <c r="L23" s="37">
        <f t="shared" si="2"/>
        <v>77144.857000000004</v>
      </c>
    </row>
    <row r="24" spans="1:12" x14ac:dyDescent="0.25">
      <c r="A24" s="31">
        <v>2002</v>
      </c>
      <c r="B24" s="32">
        <f>'[1]6.12.5'!B24+'[1]6.12.8'!B24+'[1]6.12.9'!B24</f>
        <v>246088</v>
      </c>
      <c r="C24" s="32">
        <f>'[1]6.12.5'!C24+'[1]6.12.8'!C24+'[1]6.12.9'!C24</f>
        <v>29937</v>
      </c>
      <c r="D24" s="32">
        <f t="shared" si="0"/>
        <v>276025</v>
      </c>
      <c r="E24" s="32"/>
      <c r="F24" s="32">
        <f>'[1]6.12.5'!F24+'[1]6.12.8'!F24+'[1]6.12.9'!F24</f>
        <v>20249365</v>
      </c>
      <c r="G24" s="32">
        <f>'[1]6.12.5'!G24+'[1]6.12.8'!G24+'[1]6.12.9'!G24</f>
        <v>2207319</v>
      </c>
      <c r="H24" s="32">
        <f t="shared" si="1"/>
        <v>22456684</v>
      </c>
      <c r="I24" s="32"/>
      <c r="J24" s="32">
        <f>'[1]6.12.5'!J24+'[1]6.12.8'!J24+'[1]6.12.9'!J24</f>
        <v>56579.923999999999</v>
      </c>
      <c r="K24" s="32">
        <f>'[1]6.12.5'!K24+'[1]6.12.8'!K24+'[1]6.12.9'!K24</f>
        <v>19136.460999999999</v>
      </c>
      <c r="L24" s="32">
        <f t="shared" si="2"/>
        <v>75716.384999999995</v>
      </c>
    </row>
    <row r="25" spans="1:12" x14ac:dyDescent="0.25">
      <c r="A25" s="36">
        <v>2003</v>
      </c>
      <c r="B25" s="37">
        <f>'[1]6.12.5'!B25+'[1]6.12.8'!B25+'[1]6.12.9'!B25</f>
        <v>263057</v>
      </c>
      <c r="C25" s="37">
        <f>'[1]6.12.5'!C25+'[1]6.12.8'!C25+'[1]6.12.9'!C25</f>
        <v>29447</v>
      </c>
      <c r="D25" s="37">
        <f t="shared" si="0"/>
        <v>292504</v>
      </c>
      <c r="E25" s="37"/>
      <c r="F25" s="37">
        <f>'[1]6.12.5'!F25+'[1]6.12.8'!F25+'[1]6.12.9'!F25</f>
        <v>22622008</v>
      </c>
      <c r="G25" s="37">
        <f>'[1]6.12.5'!G25+'[1]6.12.8'!G25+'[1]6.12.9'!G25</f>
        <v>2185064</v>
      </c>
      <c r="H25" s="37">
        <f t="shared" si="1"/>
        <v>24807072</v>
      </c>
      <c r="I25" s="37"/>
      <c r="J25" s="37">
        <f>'[1]6.12.5'!J25+'[1]6.12.8'!J25+'[1]6.12.9'!J25</f>
        <v>51174.476999999999</v>
      </c>
      <c r="K25" s="37">
        <f>'[1]6.12.5'!K25+'[1]6.12.8'!K25+'[1]6.12.9'!K25</f>
        <v>19228.493000000002</v>
      </c>
      <c r="L25" s="37">
        <f t="shared" si="2"/>
        <v>70402.97</v>
      </c>
    </row>
    <row r="26" spans="1:12" x14ac:dyDescent="0.25">
      <c r="A26" s="31">
        <v>2004</v>
      </c>
      <c r="B26" s="32">
        <f>'[1]6.12.5'!B26+'[1]6.12.8'!B26+'[1]6.12.9'!B26</f>
        <v>285041</v>
      </c>
      <c r="C26" s="32">
        <f>'[1]6.12.5'!C26+'[1]6.12.8'!C26+'[1]6.12.9'!C26</f>
        <v>26984</v>
      </c>
      <c r="D26" s="32">
        <f t="shared" si="0"/>
        <v>312025</v>
      </c>
      <c r="E26" s="32"/>
      <c r="F26" s="32">
        <f>'[1]6.12.5'!F26+'[1]6.12.8'!F26+'[1]6.12.9'!F26</f>
        <v>26180253</v>
      </c>
      <c r="G26" s="32">
        <f>'[1]6.12.5'!G26+'[1]6.12.8'!G26+'[1]6.12.9'!G26</f>
        <v>2246740</v>
      </c>
      <c r="H26" s="32">
        <f t="shared" si="1"/>
        <v>28426993</v>
      </c>
      <c r="I26" s="32"/>
      <c r="J26" s="32">
        <f>'[1]6.12.5'!J26+'[1]6.12.8'!J26+'[1]6.12.9'!J26</f>
        <v>61461.356999999996</v>
      </c>
      <c r="K26" s="32">
        <f>'[1]6.12.5'!K26+'[1]6.12.8'!K26+'[1]6.12.9'!K26</f>
        <v>20601.039999999997</v>
      </c>
      <c r="L26" s="32">
        <f t="shared" si="2"/>
        <v>82062.396999999997</v>
      </c>
    </row>
    <row r="27" spans="1:12" x14ac:dyDescent="0.25">
      <c r="A27" s="36">
        <v>2005</v>
      </c>
      <c r="B27" s="37">
        <f>'[1]6.12.5'!B27+'[1]6.12.8'!B27+'[1]6.12.9'!B27</f>
        <v>306704</v>
      </c>
      <c r="C27" s="37">
        <f>'[1]6.12.5'!C27+'[1]6.12.8'!C27+'[1]6.12.9'!C27</f>
        <v>26802</v>
      </c>
      <c r="D27" s="37">
        <f t="shared" si="0"/>
        <v>333506</v>
      </c>
      <c r="E27" s="37"/>
      <c r="F27" s="37">
        <f>'[1]6.12.5'!F27+'[1]6.12.8'!F27+'[1]6.12.9'!F27</f>
        <v>29680869</v>
      </c>
      <c r="G27" s="37">
        <f>'[1]6.12.5'!G27+'[1]6.12.8'!G27+'[1]6.12.9'!G27</f>
        <v>2125566</v>
      </c>
      <c r="H27" s="37">
        <f t="shared" si="1"/>
        <v>31806435</v>
      </c>
      <c r="I27" s="37"/>
      <c r="J27" s="37">
        <f>'[1]6.12.5'!J27+'[1]6.12.8'!J27+'[1]6.12.9'!J27</f>
        <v>70361.8</v>
      </c>
      <c r="K27" s="37">
        <f>'[1]6.12.5'!K27+'[1]6.12.8'!K27+'[1]6.12.9'!K27</f>
        <v>20132.950000000004</v>
      </c>
      <c r="L27" s="37">
        <f t="shared" si="2"/>
        <v>90494.75</v>
      </c>
    </row>
    <row r="28" spans="1:12" x14ac:dyDescent="0.25">
      <c r="A28" s="31">
        <v>2006</v>
      </c>
      <c r="B28" s="32">
        <f>'[1]6.12.5'!B28+'[1]6.12.8'!B28+'[1]6.12.9'!B42</f>
        <v>318605</v>
      </c>
      <c r="C28" s="32">
        <f>'[1]6.12.5'!C28+'[1]6.12.8'!C28+'[1]6.12.9'!C42</f>
        <v>25138</v>
      </c>
      <c r="D28" s="32">
        <f t="shared" si="0"/>
        <v>343743</v>
      </c>
      <c r="E28" s="32"/>
      <c r="F28" s="32">
        <f>'[1]6.12.5'!F28+'[1]6.12.8'!F28+'[1]6.12.9'!F42</f>
        <v>31902010</v>
      </c>
      <c r="G28" s="32">
        <f>'[1]6.12.5'!G28+'[1]6.12.8'!G28+'[1]6.12.9'!G42</f>
        <v>1522859</v>
      </c>
      <c r="H28" s="32">
        <f t="shared" si="1"/>
        <v>33424869</v>
      </c>
      <c r="I28" s="32"/>
      <c r="J28" s="32">
        <f>'[1]6.12.5'!J28+'[1]6.12.8'!J28+'[1]6.12.9'!J42</f>
        <v>71855.777000000002</v>
      </c>
      <c r="K28" s="32">
        <f>'[1]6.12.5'!K28+'[1]6.12.8'!K28+'[1]6.12.9'!K42</f>
        <v>21883.725999999999</v>
      </c>
      <c r="L28" s="32">
        <f t="shared" si="2"/>
        <v>93739.502999999997</v>
      </c>
    </row>
    <row r="29" spans="1:12" x14ac:dyDescent="0.25">
      <c r="A29" s="36">
        <v>2007</v>
      </c>
      <c r="B29" s="37">
        <f>'[1]6.12.5'!B29+'[1]6.12.8'!B42+'[1]6.12.9'!B43</f>
        <v>323483</v>
      </c>
      <c r="C29" s="37">
        <f>'[1]6.12.5'!C29+'[1]6.12.8'!C42+'[1]6.12.9'!C43</f>
        <v>20029</v>
      </c>
      <c r="D29" s="37">
        <f t="shared" si="0"/>
        <v>343512</v>
      </c>
      <c r="E29" s="37"/>
      <c r="F29" s="37">
        <f>'[1]6.12.5'!F29+'[1]6.12.8'!F42+'[1]6.12.9'!F43</f>
        <v>31776207</v>
      </c>
      <c r="G29" s="37">
        <f>'[1]6.12.5'!G29+'[1]6.12.8'!G42+'[1]6.12.9'!G43</f>
        <v>1027656</v>
      </c>
      <c r="H29" s="37">
        <f t="shared" si="1"/>
        <v>32803863</v>
      </c>
      <c r="I29" s="37"/>
      <c r="J29" s="37">
        <f>'[1]6.12.5'!J29+'[1]6.12.8'!J42+'[1]6.12.9'!J43</f>
        <v>77120.672000000006</v>
      </c>
      <c r="K29" s="37">
        <f>'[1]6.12.5'!K29+'[1]6.12.8'!K42+'[1]6.12.9'!K43</f>
        <v>19523.984</v>
      </c>
      <c r="L29" s="37">
        <f t="shared" si="2"/>
        <v>96644.656000000003</v>
      </c>
    </row>
    <row r="30" spans="1:12" x14ac:dyDescent="0.25">
      <c r="A30" s="31">
        <v>2008</v>
      </c>
      <c r="B30" s="32">
        <v>338470</v>
      </c>
      <c r="C30" s="32">
        <v>24432</v>
      </c>
      <c r="D30" s="32">
        <f t="shared" si="0"/>
        <v>362902</v>
      </c>
      <c r="E30" s="32"/>
      <c r="F30" s="32">
        <v>35155527</v>
      </c>
      <c r="G30" s="32">
        <v>1767996</v>
      </c>
      <c r="H30" s="32">
        <f t="shared" si="1"/>
        <v>36923523</v>
      </c>
      <c r="I30" s="32"/>
      <c r="J30" s="32">
        <v>85284</v>
      </c>
      <c r="K30" s="32">
        <v>19136</v>
      </c>
      <c r="L30" s="32">
        <f t="shared" si="2"/>
        <v>104420</v>
      </c>
    </row>
    <row r="31" spans="1:12" x14ac:dyDescent="0.25">
      <c r="A31" s="36">
        <v>2009</v>
      </c>
      <c r="B31" s="37">
        <v>303914</v>
      </c>
      <c r="C31" s="37">
        <v>19158</v>
      </c>
      <c r="D31" s="37">
        <f t="shared" si="0"/>
        <v>323072</v>
      </c>
      <c r="E31" s="37"/>
      <c r="F31" s="80">
        <v>33014879</v>
      </c>
      <c r="G31" s="37">
        <v>1343464</v>
      </c>
      <c r="H31" s="37">
        <f t="shared" si="1"/>
        <v>34358343</v>
      </c>
      <c r="I31" s="37"/>
      <c r="J31" s="37">
        <v>74598</v>
      </c>
      <c r="K31" s="37">
        <v>15143</v>
      </c>
      <c r="L31" s="37">
        <f t="shared" si="2"/>
        <v>89741</v>
      </c>
    </row>
    <row r="32" spans="1:12" x14ac:dyDescent="0.25">
      <c r="A32" s="31">
        <v>2010</v>
      </c>
      <c r="B32" s="32">
        <v>304664</v>
      </c>
      <c r="C32" s="32">
        <v>25660</v>
      </c>
      <c r="D32" s="32">
        <f t="shared" si="0"/>
        <v>330324</v>
      </c>
      <c r="E32" s="32"/>
      <c r="F32" s="53">
        <v>33950479</v>
      </c>
      <c r="G32" s="32">
        <v>1544242</v>
      </c>
      <c r="H32" s="32">
        <f t="shared" si="1"/>
        <v>35494721</v>
      </c>
      <c r="I32" s="32"/>
      <c r="J32" s="32">
        <v>84504</v>
      </c>
      <c r="K32" s="32">
        <v>20083</v>
      </c>
      <c r="L32" s="32">
        <f t="shared" si="2"/>
        <v>104587</v>
      </c>
    </row>
    <row r="33" spans="1:12" x14ac:dyDescent="0.25">
      <c r="A33" s="36">
        <v>2011</v>
      </c>
      <c r="B33" s="37">
        <v>309212</v>
      </c>
      <c r="C33" s="37">
        <v>43135</v>
      </c>
      <c r="D33" s="37">
        <v>352347</v>
      </c>
      <c r="E33" s="37"/>
      <c r="F33" s="80">
        <v>37184014</v>
      </c>
      <c r="G33" s="37">
        <v>1575097</v>
      </c>
      <c r="H33" s="37">
        <v>38759111</v>
      </c>
      <c r="I33" s="37"/>
      <c r="J33" s="37">
        <f>85575.503+1</f>
        <v>85576.502999999997</v>
      </c>
      <c r="K33" s="37">
        <v>112762</v>
      </c>
      <c r="L33" s="37">
        <f t="shared" ref="L33:L38" si="3">J33+K33</f>
        <v>198338.503</v>
      </c>
    </row>
    <row r="34" spans="1:12" x14ac:dyDescent="0.25">
      <c r="A34" s="31">
        <v>2012</v>
      </c>
      <c r="B34" s="32">
        <v>294043</v>
      </c>
      <c r="C34" s="32">
        <v>39746</v>
      </c>
      <c r="D34" s="32">
        <f>B34+C34</f>
        <v>333789</v>
      </c>
      <c r="E34" s="32"/>
      <c r="F34" s="53">
        <v>37386261</v>
      </c>
      <c r="G34" s="32">
        <v>1530297</v>
      </c>
      <c r="H34" s="32">
        <f>F34+G34</f>
        <v>38916558</v>
      </c>
      <c r="I34" s="32"/>
      <c r="J34" s="32">
        <v>84962</v>
      </c>
      <c r="K34" s="32">
        <v>164759</v>
      </c>
      <c r="L34" s="32">
        <f t="shared" si="3"/>
        <v>249721</v>
      </c>
    </row>
    <row r="35" spans="1:12" x14ac:dyDescent="0.25">
      <c r="A35" s="36">
        <v>2013</v>
      </c>
      <c r="B35" s="37">
        <f>'[1]6.12.5'!B35+'[1]6.12.8'!B35+'[1]6.12.9'!B35</f>
        <v>280124</v>
      </c>
      <c r="C35" s="37">
        <f>'[1]6.12.5'!C35+'[1]6.12.8'!C35+'[1]6.12.9'!C35</f>
        <v>40399</v>
      </c>
      <c r="D35" s="37">
        <f>B35+C35</f>
        <v>320523</v>
      </c>
      <c r="E35" s="37"/>
      <c r="F35" s="80">
        <f>'[1]6.12.5'!F35+'[1]6.12.8'!F35+'[1]6.12.9'!F35</f>
        <v>37360312</v>
      </c>
      <c r="G35" s="37">
        <f>'[1]6.12.5'!G35+'[1]6.12.8'!G35+'[1]6.12.9'!G35</f>
        <v>1558457</v>
      </c>
      <c r="H35" s="37">
        <f>F35+G35</f>
        <v>38918769</v>
      </c>
      <c r="I35" s="37"/>
      <c r="J35" s="37">
        <f>'[1]6.12.5'!J35+'[1]6.12.8'!J35+'[1]6.12.9'!J35</f>
        <v>86494.91</v>
      </c>
      <c r="K35" s="37">
        <f>'[1]6.12.5'!K35+'[1]6.12.8'!K35+'[1]6.12.9'!K35</f>
        <v>13977.739999999998</v>
      </c>
      <c r="L35" s="37">
        <f t="shared" si="3"/>
        <v>100472.65</v>
      </c>
    </row>
    <row r="36" spans="1:12" x14ac:dyDescent="0.25">
      <c r="A36" s="31">
        <v>2014</v>
      </c>
      <c r="B36" s="32">
        <f>'[1]6.12.5'!B36+'[1]6.12.8'!B36+'[1]6.12.9'!B36</f>
        <v>281322</v>
      </c>
      <c r="C36" s="32">
        <f>'[1]6.12.5'!C36+'[1]6.12.8'!C36+'[1]6.12.9'!C36</f>
        <v>39143</v>
      </c>
      <c r="D36" s="32">
        <f>B36+C36</f>
        <v>320465</v>
      </c>
      <c r="E36" s="32"/>
      <c r="F36" s="53">
        <f>'[1]6.12.5'!F36+'[1]6.12.8'!F36+'[1]6.12.9'!F36</f>
        <v>39130314</v>
      </c>
      <c r="G36" s="32">
        <f>'[1]6.12.5'!G36+'[1]6.12.8'!G36+'[1]6.12.9'!G36</f>
        <v>1440024</v>
      </c>
      <c r="H36" s="32">
        <f>F36+G36</f>
        <v>40570338</v>
      </c>
      <c r="I36" s="32"/>
      <c r="J36" s="32">
        <f>'[1]6.12.5'!J36+'[1]6.12.8'!J36+'[1]6.12.9'!J36</f>
        <v>87220.148000000001</v>
      </c>
      <c r="K36" s="32">
        <f>'[1]6.12.5'!K36+'[1]6.12.8'!K36+'[1]6.12.9'!K36</f>
        <v>15587.029999999999</v>
      </c>
      <c r="L36" s="32">
        <f t="shared" si="3"/>
        <v>102807.178</v>
      </c>
    </row>
    <row r="37" spans="1:12" x14ac:dyDescent="0.25">
      <c r="A37" s="36">
        <v>2015</v>
      </c>
      <c r="B37" s="37">
        <f>'[1]6.12.5'!B37+'[1]6.12.8'!B37+'[1]6.12.9'!B37</f>
        <v>283928</v>
      </c>
      <c r="C37" s="37">
        <f>'[1]6.12.5'!C37+'[1]6.12.8'!C37+'[1]6.12.9'!C37</f>
        <v>38013</v>
      </c>
      <c r="D37" s="37">
        <f>B37+C37</f>
        <v>321941</v>
      </c>
      <c r="E37" s="37"/>
      <c r="F37" s="80">
        <f>'[1]6.12.5'!F37+'[1]6.12.8'!F37+'[1]6.12.9'!F37</f>
        <v>41159864</v>
      </c>
      <c r="G37" s="37">
        <f>'[1]6.12.5'!G37+'[1]6.12.8'!G37+'[1]6.12.9'!G37</f>
        <v>1031737</v>
      </c>
      <c r="H37" s="37">
        <f>F37+G37</f>
        <v>42191601</v>
      </c>
      <c r="I37" s="37"/>
      <c r="J37" s="37">
        <f>'[1]6.12.5'!J37+'[1]6.12.8'!J37+'[1]6.12.9'!J37</f>
        <v>99386.014999999999</v>
      </c>
      <c r="K37" s="37">
        <f>'[1]6.12.5'!K37+'[1]6.12.8'!K37+'[1]6.12.9'!K37</f>
        <v>17929.544999999991</v>
      </c>
      <c r="L37" s="37">
        <f t="shared" si="3"/>
        <v>117315.56</v>
      </c>
    </row>
    <row r="38" spans="1:12" x14ac:dyDescent="0.25">
      <c r="A38" s="31">
        <v>2016</v>
      </c>
      <c r="B38" s="32">
        <f>'[1]6.12.5'!B38+'[1]6.12.8'!B38+'[1]6.12.9'!B38</f>
        <v>301527</v>
      </c>
      <c r="C38" s="32">
        <f>'[1]6.12.5'!C38+'[1]6.12.8'!C38+'[1]6.12.9'!C38</f>
        <v>39624</v>
      </c>
      <c r="D38" s="32">
        <f>B38+C38</f>
        <v>341151</v>
      </c>
      <c r="E38" s="32"/>
      <c r="F38" s="53">
        <f>'[1]6.12.5'!F38+'[1]6.12.8'!F38+'[1]6.12.9'!F38</f>
        <v>45639149</v>
      </c>
      <c r="G38" s="32">
        <f>'[1]6.12.5'!G38+'[1]6.12.8'!G38+'[1]6.12.9'!G38</f>
        <v>997918</v>
      </c>
      <c r="H38" s="32">
        <f>F38+G38</f>
        <v>46637067</v>
      </c>
      <c r="I38" s="32"/>
      <c r="J38" s="32">
        <f>'[1]6.12.5'!J38+'[1]6.12.8'!J38+'[1]6.12.9'!J38</f>
        <v>115226.18500000001</v>
      </c>
      <c r="K38" s="32">
        <f>'[1]6.12.5'!K38+'[1]6.12.8'!K38+'[1]6.12.9'!K38</f>
        <v>17583.624999999985</v>
      </c>
      <c r="L38" s="32">
        <f t="shared" si="3"/>
        <v>132809.81</v>
      </c>
    </row>
    <row r="39" spans="1:12" x14ac:dyDescent="0.25">
      <c r="A39" s="36">
        <v>2017</v>
      </c>
      <c r="B39" s="37">
        <f>'[1]6.12.5'!B39+'[1]6.12.8'!B39+'[1]6.12.9'!B39</f>
        <v>320024</v>
      </c>
      <c r="C39" s="37">
        <f>D39-B39</f>
        <v>38790</v>
      </c>
      <c r="D39" s="37">
        <f>'[1]6.12.5'!D39+'[1]6.12.8'!D39+'[1]6.12.9'!D39</f>
        <v>358814</v>
      </c>
      <c r="E39" s="37"/>
      <c r="F39" s="80">
        <f>'[1]6.12.5'!F39+'[1]6.12.8'!F39+'[1]6.12.9'!F39</f>
        <v>49235120</v>
      </c>
      <c r="G39" s="37">
        <f>H39-F39</f>
        <v>1019160</v>
      </c>
      <c r="H39" s="37">
        <f>'[1]6.12.5'!H39+'[1]6.12.8'!H39+'[1]6.12.9'!H39</f>
        <v>50254280</v>
      </c>
      <c r="I39" s="37"/>
      <c r="J39" s="37">
        <f>'[1]6.12.5'!J39+'[1]6.12.8'!J39+'[1]6.12.9'!J39</f>
        <v>137587.35699999999</v>
      </c>
      <c r="K39" s="37">
        <f>L39-J39</f>
        <v>18643.448000000004</v>
      </c>
      <c r="L39" s="37">
        <f>'[1]6.12.5'!L39+'[1]6.12.8'!L39+'[1]6.12.9'!L39</f>
        <v>156230.80499999999</v>
      </c>
    </row>
    <row r="40" spans="1:12" x14ac:dyDescent="0.25">
      <c r="A40" s="31">
        <v>2018</v>
      </c>
      <c r="B40" s="32">
        <f>'[1]6.12.5'!B40+'[1]6.12.8'!B40+'[1]6.12.9'!B40</f>
        <v>332483</v>
      </c>
      <c r="C40" s="32">
        <f>'[1]6.12.5'!C40+'[1]6.12.8'!C40+'[1]6.12.9'!C40</f>
        <v>37893</v>
      </c>
      <c r="D40" s="32">
        <f>'[1]6.12.5'!D40+'[1]6.12.8'!D40+'[1]6.12.9'!D40</f>
        <v>370376</v>
      </c>
      <c r="E40" s="32"/>
      <c r="F40" s="53">
        <f>'[1]6.12.5'!F40+'[1]6.12.8'!F40+'[1]6.12.9'!F40+11521</f>
        <v>52282134</v>
      </c>
      <c r="G40" s="32">
        <f>H40-F40</f>
        <v>992667</v>
      </c>
      <c r="H40" s="32">
        <f>'[1]6.12.5'!H40+'[1]6.12.8'!H40+'[1]6.12.9'!H40+44892</f>
        <v>53274801</v>
      </c>
      <c r="I40" s="32"/>
      <c r="J40" s="32">
        <f>'[1]6.12.5'!J40+'[1]6.12.8'!J40+'[1]6.12.9'!J40</f>
        <v>151957.905</v>
      </c>
      <c r="K40" s="32">
        <f>'[1]6.12.5'!K40+'[1]6.12.8'!K40+'[1]6.12.9'!K40</f>
        <v>21115.054999999989</v>
      </c>
      <c r="L40" s="32">
        <f>'[1]6.12.5'!L40+'[1]6.12.8'!L40+'[1]6.12.9'!L40</f>
        <v>173072.96</v>
      </c>
    </row>
    <row r="41" spans="1:12" x14ac:dyDescent="0.25">
      <c r="A41" s="36">
        <v>2019</v>
      </c>
      <c r="B41" s="37">
        <v>342733</v>
      </c>
      <c r="C41" s="37">
        <v>88425</v>
      </c>
      <c r="D41" s="37">
        <v>460982</v>
      </c>
      <c r="E41" s="37"/>
      <c r="F41" s="80">
        <v>54732289</v>
      </c>
      <c r="G41" s="37">
        <v>940531</v>
      </c>
      <c r="H41" s="37">
        <v>55731434</v>
      </c>
      <c r="I41" s="37"/>
      <c r="J41" s="37">
        <v>170077</v>
      </c>
      <c r="K41" s="37">
        <f>'[1]6.12.5'!K41+'[1]6.12.8'!K41+'[1]6.12.9'!K41</f>
        <v>6810</v>
      </c>
      <c r="L41" s="37">
        <v>176887</v>
      </c>
    </row>
    <row r="42" spans="1:12" x14ac:dyDescent="0.25">
      <c r="A42" s="81"/>
      <c r="B42" s="82"/>
      <c r="C42" s="82"/>
      <c r="D42" s="70"/>
      <c r="E42" s="26"/>
      <c r="F42" s="82"/>
      <c r="G42" s="82"/>
      <c r="H42" s="82"/>
      <c r="I42" s="26"/>
      <c r="J42" s="26"/>
      <c r="K42" s="26"/>
      <c r="L42" s="26"/>
    </row>
    <row r="43" spans="1:12" ht="15" customHeight="1" x14ac:dyDescent="0.3">
      <c r="A43" s="52" t="s">
        <v>53</v>
      </c>
      <c r="B43" s="83"/>
      <c r="C43" s="83"/>
      <c r="D43" s="11"/>
      <c r="E43" s="12"/>
      <c r="F43" s="83"/>
      <c r="G43" s="83"/>
      <c r="H43" s="83"/>
      <c r="I43" s="12"/>
      <c r="J43" s="12"/>
      <c r="K43" s="12"/>
      <c r="L43" s="12"/>
    </row>
    <row r="45" spans="1:12" x14ac:dyDescent="0.25">
      <c r="A45" s="84" t="s">
        <v>59</v>
      </c>
    </row>
  </sheetData>
  <pageMargins left="0.4" right="0.19685039370078741" top="0.55118110236220474" bottom="0" header="0" footer="0"/>
  <pageSetup paperSize="9" scale="91" orientation="portrait" r:id="rId1"/>
  <headerFooter alignWithMargins="0"/>
  <ignoredErrors>
    <ignoredError sqref="B9:L29 B33:L44 B30:C32 E30:L32" unlockedFormula="1"/>
    <ignoredError sqref="D30:D32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94"/>
  <sheetViews>
    <sheetView showGridLines="0" zoomScaleNormal="100" zoomScaleSheetLayoutView="90" workbookViewId="0">
      <selection activeCell="C10" sqref="C10"/>
    </sheetView>
  </sheetViews>
  <sheetFormatPr defaultColWidth="11.453125" defaultRowHeight="12.5" x14ac:dyDescent="0.25"/>
  <cols>
    <col min="1" max="2" width="8.7265625" style="67" customWidth="1"/>
    <col min="3" max="3" width="11.7265625" style="67" customWidth="1"/>
    <col min="4" max="4" width="8.26953125" style="67" customWidth="1"/>
    <col min="5" max="5" width="1.7265625" style="67" customWidth="1"/>
    <col min="6" max="6" width="9.7265625" style="67" customWidth="1"/>
    <col min="7" max="7" width="11.7265625" style="67" customWidth="1"/>
    <col min="8" max="8" width="10.7265625" style="67" customWidth="1"/>
    <col min="9" max="9" width="1.7265625" style="67" customWidth="1"/>
    <col min="10" max="10" width="8.7265625" style="67" customWidth="1"/>
    <col min="11" max="11" width="11.7265625" style="67" customWidth="1"/>
    <col min="12" max="12" width="8.7265625" style="67" customWidth="1"/>
    <col min="13" max="256" width="11.453125" style="67"/>
    <col min="257" max="258" width="8.7265625" style="67" customWidth="1"/>
    <col min="259" max="259" width="11.7265625" style="67" customWidth="1"/>
    <col min="260" max="260" width="8.26953125" style="67" customWidth="1"/>
    <col min="261" max="261" width="1.7265625" style="67" customWidth="1"/>
    <col min="262" max="262" width="9.7265625" style="67" customWidth="1"/>
    <col min="263" max="263" width="11.7265625" style="67" customWidth="1"/>
    <col min="264" max="264" width="10.7265625" style="67" customWidth="1"/>
    <col min="265" max="265" width="1.7265625" style="67" customWidth="1"/>
    <col min="266" max="266" width="8.7265625" style="67" customWidth="1"/>
    <col min="267" max="267" width="11.7265625" style="67" customWidth="1"/>
    <col min="268" max="268" width="8.7265625" style="67" customWidth="1"/>
    <col min="269" max="512" width="11.453125" style="67"/>
    <col min="513" max="514" width="8.7265625" style="67" customWidth="1"/>
    <col min="515" max="515" width="11.7265625" style="67" customWidth="1"/>
    <col min="516" max="516" width="8.26953125" style="67" customWidth="1"/>
    <col min="517" max="517" width="1.7265625" style="67" customWidth="1"/>
    <col min="518" max="518" width="9.7265625" style="67" customWidth="1"/>
    <col min="519" max="519" width="11.7265625" style="67" customWidth="1"/>
    <col min="520" max="520" width="10.7265625" style="67" customWidth="1"/>
    <col min="521" max="521" width="1.7265625" style="67" customWidth="1"/>
    <col min="522" max="522" width="8.7265625" style="67" customWidth="1"/>
    <col min="523" max="523" width="11.7265625" style="67" customWidth="1"/>
    <col min="524" max="524" width="8.7265625" style="67" customWidth="1"/>
    <col min="525" max="768" width="11.453125" style="67"/>
    <col min="769" max="770" width="8.7265625" style="67" customWidth="1"/>
    <col min="771" max="771" width="11.7265625" style="67" customWidth="1"/>
    <col min="772" max="772" width="8.26953125" style="67" customWidth="1"/>
    <col min="773" max="773" width="1.7265625" style="67" customWidth="1"/>
    <col min="774" max="774" width="9.7265625" style="67" customWidth="1"/>
    <col min="775" max="775" width="11.7265625" style="67" customWidth="1"/>
    <col min="776" max="776" width="10.7265625" style="67" customWidth="1"/>
    <col min="777" max="777" width="1.7265625" style="67" customWidth="1"/>
    <col min="778" max="778" width="8.7265625" style="67" customWidth="1"/>
    <col min="779" max="779" width="11.7265625" style="67" customWidth="1"/>
    <col min="780" max="780" width="8.7265625" style="67" customWidth="1"/>
    <col min="781" max="1024" width="11.453125" style="67"/>
    <col min="1025" max="1026" width="8.7265625" style="67" customWidth="1"/>
    <col min="1027" max="1027" width="11.7265625" style="67" customWidth="1"/>
    <col min="1028" max="1028" width="8.26953125" style="67" customWidth="1"/>
    <col min="1029" max="1029" width="1.7265625" style="67" customWidth="1"/>
    <col min="1030" max="1030" width="9.7265625" style="67" customWidth="1"/>
    <col min="1031" max="1031" width="11.7265625" style="67" customWidth="1"/>
    <col min="1032" max="1032" width="10.7265625" style="67" customWidth="1"/>
    <col min="1033" max="1033" width="1.7265625" style="67" customWidth="1"/>
    <col min="1034" max="1034" width="8.7265625" style="67" customWidth="1"/>
    <col min="1035" max="1035" width="11.7265625" style="67" customWidth="1"/>
    <col min="1036" max="1036" width="8.7265625" style="67" customWidth="1"/>
    <col min="1037" max="1280" width="11.453125" style="67"/>
    <col min="1281" max="1282" width="8.7265625" style="67" customWidth="1"/>
    <col min="1283" max="1283" width="11.7265625" style="67" customWidth="1"/>
    <col min="1284" max="1284" width="8.26953125" style="67" customWidth="1"/>
    <col min="1285" max="1285" width="1.7265625" style="67" customWidth="1"/>
    <col min="1286" max="1286" width="9.7265625" style="67" customWidth="1"/>
    <col min="1287" max="1287" width="11.7265625" style="67" customWidth="1"/>
    <col min="1288" max="1288" width="10.7265625" style="67" customWidth="1"/>
    <col min="1289" max="1289" width="1.7265625" style="67" customWidth="1"/>
    <col min="1290" max="1290" width="8.7265625" style="67" customWidth="1"/>
    <col min="1291" max="1291" width="11.7265625" style="67" customWidth="1"/>
    <col min="1292" max="1292" width="8.7265625" style="67" customWidth="1"/>
    <col min="1293" max="1536" width="11.453125" style="67"/>
    <col min="1537" max="1538" width="8.7265625" style="67" customWidth="1"/>
    <col min="1539" max="1539" width="11.7265625" style="67" customWidth="1"/>
    <col min="1540" max="1540" width="8.26953125" style="67" customWidth="1"/>
    <col min="1541" max="1541" width="1.7265625" style="67" customWidth="1"/>
    <col min="1542" max="1542" width="9.7265625" style="67" customWidth="1"/>
    <col min="1543" max="1543" width="11.7265625" style="67" customWidth="1"/>
    <col min="1544" max="1544" width="10.7265625" style="67" customWidth="1"/>
    <col min="1545" max="1545" width="1.7265625" style="67" customWidth="1"/>
    <col min="1546" max="1546" width="8.7265625" style="67" customWidth="1"/>
    <col min="1547" max="1547" width="11.7265625" style="67" customWidth="1"/>
    <col min="1548" max="1548" width="8.7265625" style="67" customWidth="1"/>
    <col min="1549" max="1792" width="11.453125" style="67"/>
    <col min="1793" max="1794" width="8.7265625" style="67" customWidth="1"/>
    <col min="1795" max="1795" width="11.7265625" style="67" customWidth="1"/>
    <col min="1796" max="1796" width="8.26953125" style="67" customWidth="1"/>
    <col min="1797" max="1797" width="1.7265625" style="67" customWidth="1"/>
    <col min="1798" max="1798" width="9.7265625" style="67" customWidth="1"/>
    <col min="1799" max="1799" width="11.7265625" style="67" customWidth="1"/>
    <col min="1800" max="1800" width="10.7265625" style="67" customWidth="1"/>
    <col min="1801" max="1801" width="1.7265625" style="67" customWidth="1"/>
    <col min="1802" max="1802" width="8.7265625" style="67" customWidth="1"/>
    <col min="1803" max="1803" width="11.7265625" style="67" customWidth="1"/>
    <col min="1804" max="1804" width="8.7265625" style="67" customWidth="1"/>
    <col min="1805" max="2048" width="11.453125" style="67"/>
    <col min="2049" max="2050" width="8.7265625" style="67" customWidth="1"/>
    <col min="2051" max="2051" width="11.7265625" style="67" customWidth="1"/>
    <col min="2052" max="2052" width="8.26953125" style="67" customWidth="1"/>
    <col min="2053" max="2053" width="1.7265625" style="67" customWidth="1"/>
    <col min="2054" max="2054" width="9.7265625" style="67" customWidth="1"/>
    <col min="2055" max="2055" width="11.7265625" style="67" customWidth="1"/>
    <col min="2056" max="2056" width="10.7265625" style="67" customWidth="1"/>
    <col min="2057" max="2057" width="1.7265625" style="67" customWidth="1"/>
    <col min="2058" max="2058" width="8.7265625" style="67" customWidth="1"/>
    <col min="2059" max="2059" width="11.7265625" style="67" customWidth="1"/>
    <col min="2060" max="2060" width="8.7265625" style="67" customWidth="1"/>
    <col min="2061" max="2304" width="11.453125" style="67"/>
    <col min="2305" max="2306" width="8.7265625" style="67" customWidth="1"/>
    <col min="2307" max="2307" width="11.7265625" style="67" customWidth="1"/>
    <col min="2308" max="2308" width="8.26953125" style="67" customWidth="1"/>
    <col min="2309" max="2309" width="1.7265625" style="67" customWidth="1"/>
    <col min="2310" max="2310" width="9.7265625" style="67" customWidth="1"/>
    <col min="2311" max="2311" width="11.7265625" style="67" customWidth="1"/>
    <col min="2312" max="2312" width="10.7265625" style="67" customWidth="1"/>
    <col min="2313" max="2313" width="1.7265625" style="67" customWidth="1"/>
    <col min="2314" max="2314" width="8.7265625" style="67" customWidth="1"/>
    <col min="2315" max="2315" width="11.7265625" style="67" customWidth="1"/>
    <col min="2316" max="2316" width="8.7265625" style="67" customWidth="1"/>
    <col min="2317" max="2560" width="11.453125" style="67"/>
    <col min="2561" max="2562" width="8.7265625" style="67" customWidth="1"/>
    <col min="2563" max="2563" width="11.7265625" style="67" customWidth="1"/>
    <col min="2564" max="2564" width="8.26953125" style="67" customWidth="1"/>
    <col min="2565" max="2565" width="1.7265625" style="67" customWidth="1"/>
    <col min="2566" max="2566" width="9.7265625" style="67" customWidth="1"/>
    <col min="2567" max="2567" width="11.7265625" style="67" customWidth="1"/>
    <col min="2568" max="2568" width="10.7265625" style="67" customWidth="1"/>
    <col min="2569" max="2569" width="1.7265625" style="67" customWidth="1"/>
    <col min="2570" max="2570" width="8.7265625" style="67" customWidth="1"/>
    <col min="2571" max="2571" width="11.7265625" style="67" customWidth="1"/>
    <col min="2572" max="2572" width="8.7265625" style="67" customWidth="1"/>
    <col min="2573" max="2816" width="11.453125" style="67"/>
    <col min="2817" max="2818" width="8.7265625" style="67" customWidth="1"/>
    <col min="2819" max="2819" width="11.7265625" style="67" customWidth="1"/>
    <col min="2820" max="2820" width="8.26953125" style="67" customWidth="1"/>
    <col min="2821" max="2821" width="1.7265625" style="67" customWidth="1"/>
    <col min="2822" max="2822" width="9.7265625" style="67" customWidth="1"/>
    <col min="2823" max="2823" width="11.7265625" style="67" customWidth="1"/>
    <col min="2824" max="2824" width="10.7265625" style="67" customWidth="1"/>
    <col min="2825" max="2825" width="1.7265625" style="67" customWidth="1"/>
    <col min="2826" max="2826" width="8.7265625" style="67" customWidth="1"/>
    <col min="2827" max="2827" width="11.7265625" style="67" customWidth="1"/>
    <col min="2828" max="2828" width="8.7265625" style="67" customWidth="1"/>
    <col min="2829" max="3072" width="11.453125" style="67"/>
    <col min="3073" max="3074" width="8.7265625" style="67" customWidth="1"/>
    <col min="3075" max="3075" width="11.7265625" style="67" customWidth="1"/>
    <col min="3076" max="3076" width="8.26953125" style="67" customWidth="1"/>
    <col min="3077" max="3077" width="1.7265625" style="67" customWidth="1"/>
    <col min="3078" max="3078" width="9.7265625" style="67" customWidth="1"/>
    <col min="3079" max="3079" width="11.7265625" style="67" customWidth="1"/>
    <col min="3080" max="3080" width="10.7265625" style="67" customWidth="1"/>
    <col min="3081" max="3081" width="1.7265625" style="67" customWidth="1"/>
    <col min="3082" max="3082" width="8.7265625" style="67" customWidth="1"/>
    <col min="3083" max="3083" width="11.7265625" style="67" customWidth="1"/>
    <col min="3084" max="3084" width="8.7265625" style="67" customWidth="1"/>
    <col min="3085" max="3328" width="11.453125" style="67"/>
    <col min="3329" max="3330" width="8.7265625" style="67" customWidth="1"/>
    <col min="3331" max="3331" width="11.7265625" style="67" customWidth="1"/>
    <col min="3332" max="3332" width="8.26953125" style="67" customWidth="1"/>
    <col min="3333" max="3333" width="1.7265625" style="67" customWidth="1"/>
    <col min="3334" max="3334" width="9.7265625" style="67" customWidth="1"/>
    <col min="3335" max="3335" width="11.7265625" style="67" customWidth="1"/>
    <col min="3336" max="3336" width="10.7265625" style="67" customWidth="1"/>
    <col min="3337" max="3337" width="1.7265625" style="67" customWidth="1"/>
    <col min="3338" max="3338" width="8.7265625" style="67" customWidth="1"/>
    <col min="3339" max="3339" width="11.7265625" style="67" customWidth="1"/>
    <col min="3340" max="3340" width="8.7265625" style="67" customWidth="1"/>
    <col min="3341" max="3584" width="11.453125" style="67"/>
    <col min="3585" max="3586" width="8.7265625" style="67" customWidth="1"/>
    <col min="3587" max="3587" width="11.7265625" style="67" customWidth="1"/>
    <col min="3588" max="3588" width="8.26953125" style="67" customWidth="1"/>
    <col min="3589" max="3589" width="1.7265625" style="67" customWidth="1"/>
    <col min="3590" max="3590" width="9.7265625" style="67" customWidth="1"/>
    <col min="3591" max="3591" width="11.7265625" style="67" customWidth="1"/>
    <col min="3592" max="3592" width="10.7265625" style="67" customWidth="1"/>
    <col min="3593" max="3593" width="1.7265625" style="67" customWidth="1"/>
    <col min="3594" max="3594" width="8.7265625" style="67" customWidth="1"/>
    <col min="3595" max="3595" width="11.7265625" style="67" customWidth="1"/>
    <col min="3596" max="3596" width="8.7265625" style="67" customWidth="1"/>
    <col min="3597" max="3840" width="11.453125" style="67"/>
    <col min="3841" max="3842" width="8.7265625" style="67" customWidth="1"/>
    <col min="3843" max="3843" width="11.7265625" style="67" customWidth="1"/>
    <col min="3844" max="3844" width="8.26953125" style="67" customWidth="1"/>
    <col min="3845" max="3845" width="1.7265625" style="67" customWidth="1"/>
    <col min="3846" max="3846" width="9.7265625" style="67" customWidth="1"/>
    <col min="3847" max="3847" width="11.7265625" style="67" customWidth="1"/>
    <col min="3848" max="3848" width="10.7265625" style="67" customWidth="1"/>
    <col min="3849" max="3849" width="1.7265625" style="67" customWidth="1"/>
    <col min="3850" max="3850" width="8.7265625" style="67" customWidth="1"/>
    <col min="3851" max="3851" width="11.7265625" style="67" customWidth="1"/>
    <col min="3852" max="3852" width="8.7265625" style="67" customWidth="1"/>
    <col min="3853" max="4096" width="11.453125" style="67"/>
    <col min="4097" max="4098" width="8.7265625" style="67" customWidth="1"/>
    <col min="4099" max="4099" width="11.7265625" style="67" customWidth="1"/>
    <col min="4100" max="4100" width="8.26953125" style="67" customWidth="1"/>
    <col min="4101" max="4101" width="1.7265625" style="67" customWidth="1"/>
    <col min="4102" max="4102" width="9.7265625" style="67" customWidth="1"/>
    <col min="4103" max="4103" width="11.7265625" style="67" customWidth="1"/>
    <col min="4104" max="4104" width="10.7265625" style="67" customWidth="1"/>
    <col min="4105" max="4105" width="1.7265625" style="67" customWidth="1"/>
    <col min="4106" max="4106" width="8.7265625" style="67" customWidth="1"/>
    <col min="4107" max="4107" width="11.7265625" style="67" customWidth="1"/>
    <col min="4108" max="4108" width="8.7265625" style="67" customWidth="1"/>
    <col min="4109" max="4352" width="11.453125" style="67"/>
    <col min="4353" max="4354" width="8.7265625" style="67" customWidth="1"/>
    <col min="4355" max="4355" width="11.7265625" style="67" customWidth="1"/>
    <col min="4356" max="4356" width="8.26953125" style="67" customWidth="1"/>
    <col min="4357" max="4357" width="1.7265625" style="67" customWidth="1"/>
    <col min="4358" max="4358" width="9.7265625" style="67" customWidth="1"/>
    <col min="4359" max="4359" width="11.7265625" style="67" customWidth="1"/>
    <col min="4360" max="4360" width="10.7265625" style="67" customWidth="1"/>
    <col min="4361" max="4361" width="1.7265625" style="67" customWidth="1"/>
    <col min="4362" max="4362" width="8.7265625" style="67" customWidth="1"/>
    <col min="4363" max="4363" width="11.7265625" style="67" customWidth="1"/>
    <col min="4364" max="4364" width="8.7265625" style="67" customWidth="1"/>
    <col min="4365" max="4608" width="11.453125" style="67"/>
    <col min="4609" max="4610" width="8.7265625" style="67" customWidth="1"/>
    <col min="4611" max="4611" width="11.7265625" style="67" customWidth="1"/>
    <col min="4612" max="4612" width="8.26953125" style="67" customWidth="1"/>
    <col min="4613" max="4613" width="1.7265625" style="67" customWidth="1"/>
    <col min="4614" max="4614" width="9.7265625" style="67" customWidth="1"/>
    <col min="4615" max="4615" width="11.7265625" style="67" customWidth="1"/>
    <col min="4616" max="4616" width="10.7265625" style="67" customWidth="1"/>
    <col min="4617" max="4617" width="1.7265625" style="67" customWidth="1"/>
    <col min="4618" max="4618" width="8.7265625" style="67" customWidth="1"/>
    <col min="4619" max="4619" width="11.7265625" style="67" customWidth="1"/>
    <col min="4620" max="4620" width="8.7265625" style="67" customWidth="1"/>
    <col min="4621" max="4864" width="11.453125" style="67"/>
    <col min="4865" max="4866" width="8.7265625" style="67" customWidth="1"/>
    <col min="4867" max="4867" width="11.7265625" style="67" customWidth="1"/>
    <col min="4868" max="4868" width="8.26953125" style="67" customWidth="1"/>
    <col min="4869" max="4869" width="1.7265625" style="67" customWidth="1"/>
    <col min="4870" max="4870" width="9.7265625" style="67" customWidth="1"/>
    <col min="4871" max="4871" width="11.7265625" style="67" customWidth="1"/>
    <col min="4872" max="4872" width="10.7265625" style="67" customWidth="1"/>
    <col min="4873" max="4873" width="1.7265625" style="67" customWidth="1"/>
    <col min="4874" max="4874" width="8.7265625" style="67" customWidth="1"/>
    <col min="4875" max="4875" width="11.7265625" style="67" customWidth="1"/>
    <col min="4876" max="4876" width="8.7265625" style="67" customWidth="1"/>
    <col min="4877" max="5120" width="11.453125" style="67"/>
    <col min="5121" max="5122" width="8.7265625" style="67" customWidth="1"/>
    <col min="5123" max="5123" width="11.7265625" style="67" customWidth="1"/>
    <col min="5124" max="5124" width="8.26953125" style="67" customWidth="1"/>
    <col min="5125" max="5125" width="1.7265625" style="67" customWidth="1"/>
    <col min="5126" max="5126" width="9.7265625" style="67" customWidth="1"/>
    <col min="5127" max="5127" width="11.7265625" style="67" customWidth="1"/>
    <col min="5128" max="5128" width="10.7265625" style="67" customWidth="1"/>
    <col min="5129" max="5129" width="1.7265625" style="67" customWidth="1"/>
    <col min="5130" max="5130" width="8.7265625" style="67" customWidth="1"/>
    <col min="5131" max="5131" width="11.7265625" style="67" customWidth="1"/>
    <col min="5132" max="5132" width="8.7265625" style="67" customWidth="1"/>
    <col min="5133" max="5376" width="11.453125" style="67"/>
    <col min="5377" max="5378" width="8.7265625" style="67" customWidth="1"/>
    <col min="5379" max="5379" width="11.7265625" style="67" customWidth="1"/>
    <col min="5380" max="5380" width="8.26953125" style="67" customWidth="1"/>
    <col min="5381" max="5381" width="1.7265625" style="67" customWidth="1"/>
    <col min="5382" max="5382" width="9.7265625" style="67" customWidth="1"/>
    <col min="5383" max="5383" width="11.7265625" style="67" customWidth="1"/>
    <col min="5384" max="5384" width="10.7265625" style="67" customWidth="1"/>
    <col min="5385" max="5385" width="1.7265625" style="67" customWidth="1"/>
    <col min="5386" max="5386" width="8.7265625" style="67" customWidth="1"/>
    <col min="5387" max="5387" width="11.7265625" style="67" customWidth="1"/>
    <col min="5388" max="5388" width="8.7265625" style="67" customWidth="1"/>
    <col min="5389" max="5632" width="11.453125" style="67"/>
    <col min="5633" max="5634" width="8.7265625" style="67" customWidth="1"/>
    <col min="5635" max="5635" width="11.7265625" style="67" customWidth="1"/>
    <col min="5636" max="5636" width="8.26953125" style="67" customWidth="1"/>
    <col min="5637" max="5637" width="1.7265625" style="67" customWidth="1"/>
    <col min="5638" max="5638" width="9.7265625" style="67" customWidth="1"/>
    <col min="5639" max="5639" width="11.7265625" style="67" customWidth="1"/>
    <col min="5640" max="5640" width="10.7265625" style="67" customWidth="1"/>
    <col min="5641" max="5641" width="1.7265625" style="67" customWidth="1"/>
    <col min="5642" max="5642" width="8.7265625" style="67" customWidth="1"/>
    <col min="5643" max="5643" width="11.7265625" style="67" customWidth="1"/>
    <col min="5644" max="5644" width="8.7265625" style="67" customWidth="1"/>
    <col min="5645" max="5888" width="11.453125" style="67"/>
    <col min="5889" max="5890" width="8.7265625" style="67" customWidth="1"/>
    <col min="5891" max="5891" width="11.7265625" style="67" customWidth="1"/>
    <col min="5892" max="5892" width="8.26953125" style="67" customWidth="1"/>
    <col min="5893" max="5893" width="1.7265625" style="67" customWidth="1"/>
    <col min="5894" max="5894" width="9.7265625" style="67" customWidth="1"/>
    <col min="5895" max="5895" width="11.7265625" style="67" customWidth="1"/>
    <col min="5896" max="5896" width="10.7265625" style="67" customWidth="1"/>
    <col min="5897" max="5897" width="1.7265625" style="67" customWidth="1"/>
    <col min="5898" max="5898" width="8.7265625" style="67" customWidth="1"/>
    <col min="5899" max="5899" width="11.7265625" style="67" customWidth="1"/>
    <col min="5900" max="5900" width="8.7265625" style="67" customWidth="1"/>
    <col min="5901" max="6144" width="11.453125" style="67"/>
    <col min="6145" max="6146" width="8.7265625" style="67" customWidth="1"/>
    <col min="6147" max="6147" width="11.7265625" style="67" customWidth="1"/>
    <col min="6148" max="6148" width="8.26953125" style="67" customWidth="1"/>
    <col min="6149" max="6149" width="1.7265625" style="67" customWidth="1"/>
    <col min="6150" max="6150" width="9.7265625" style="67" customWidth="1"/>
    <col min="6151" max="6151" width="11.7265625" style="67" customWidth="1"/>
    <col min="6152" max="6152" width="10.7265625" style="67" customWidth="1"/>
    <col min="6153" max="6153" width="1.7265625" style="67" customWidth="1"/>
    <col min="6154" max="6154" width="8.7265625" style="67" customWidth="1"/>
    <col min="6155" max="6155" width="11.7265625" style="67" customWidth="1"/>
    <col min="6156" max="6156" width="8.7265625" style="67" customWidth="1"/>
    <col min="6157" max="6400" width="11.453125" style="67"/>
    <col min="6401" max="6402" width="8.7265625" style="67" customWidth="1"/>
    <col min="6403" max="6403" width="11.7265625" style="67" customWidth="1"/>
    <col min="6404" max="6404" width="8.26953125" style="67" customWidth="1"/>
    <col min="6405" max="6405" width="1.7265625" style="67" customWidth="1"/>
    <col min="6406" max="6406" width="9.7265625" style="67" customWidth="1"/>
    <col min="6407" max="6407" width="11.7265625" style="67" customWidth="1"/>
    <col min="6408" max="6408" width="10.7265625" style="67" customWidth="1"/>
    <col min="6409" max="6409" width="1.7265625" style="67" customWidth="1"/>
    <col min="6410" max="6410" width="8.7265625" style="67" customWidth="1"/>
    <col min="6411" max="6411" width="11.7265625" style="67" customWidth="1"/>
    <col min="6412" max="6412" width="8.7265625" style="67" customWidth="1"/>
    <col min="6413" max="6656" width="11.453125" style="67"/>
    <col min="6657" max="6658" width="8.7265625" style="67" customWidth="1"/>
    <col min="6659" max="6659" width="11.7265625" style="67" customWidth="1"/>
    <col min="6660" max="6660" width="8.26953125" style="67" customWidth="1"/>
    <col min="6661" max="6661" width="1.7265625" style="67" customWidth="1"/>
    <col min="6662" max="6662" width="9.7265625" style="67" customWidth="1"/>
    <col min="6663" max="6663" width="11.7265625" style="67" customWidth="1"/>
    <col min="6664" max="6664" width="10.7265625" style="67" customWidth="1"/>
    <col min="6665" max="6665" width="1.7265625" style="67" customWidth="1"/>
    <col min="6666" max="6666" width="8.7265625" style="67" customWidth="1"/>
    <col min="6667" max="6667" width="11.7265625" style="67" customWidth="1"/>
    <col min="6668" max="6668" width="8.7265625" style="67" customWidth="1"/>
    <col min="6669" max="6912" width="11.453125" style="67"/>
    <col min="6913" max="6914" width="8.7265625" style="67" customWidth="1"/>
    <col min="6915" max="6915" width="11.7265625" style="67" customWidth="1"/>
    <col min="6916" max="6916" width="8.26953125" style="67" customWidth="1"/>
    <col min="6917" max="6917" width="1.7265625" style="67" customWidth="1"/>
    <col min="6918" max="6918" width="9.7265625" style="67" customWidth="1"/>
    <col min="6919" max="6919" width="11.7265625" style="67" customWidth="1"/>
    <col min="6920" max="6920" width="10.7265625" style="67" customWidth="1"/>
    <col min="6921" max="6921" width="1.7265625" style="67" customWidth="1"/>
    <col min="6922" max="6922" width="8.7265625" style="67" customWidth="1"/>
    <col min="6923" max="6923" width="11.7265625" style="67" customWidth="1"/>
    <col min="6924" max="6924" width="8.7265625" style="67" customWidth="1"/>
    <col min="6925" max="7168" width="11.453125" style="67"/>
    <col min="7169" max="7170" width="8.7265625" style="67" customWidth="1"/>
    <col min="7171" max="7171" width="11.7265625" style="67" customWidth="1"/>
    <col min="7172" max="7172" width="8.26953125" style="67" customWidth="1"/>
    <col min="7173" max="7173" width="1.7265625" style="67" customWidth="1"/>
    <col min="7174" max="7174" width="9.7265625" style="67" customWidth="1"/>
    <col min="7175" max="7175" width="11.7265625" style="67" customWidth="1"/>
    <col min="7176" max="7176" width="10.7265625" style="67" customWidth="1"/>
    <col min="7177" max="7177" width="1.7265625" style="67" customWidth="1"/>
    <col min="7178" max="7178" width="8.7265625" style="67" customWidth="1"/>
    <col min="7179" max="7179" width="11.7265625" style="67" customWidth="1"/>
    <col min="7180" max="7180" width="8.7265625" style="67" customWidth="1"/>
    <col min="7181" max="7424" width="11.453125" style="67"/>
    <col min="7425" max="7426" width="8.7265625" style="67" customWidth="1"/>
    <col min="7427" max="7427" width="11.7265625" style="67" customWidth="1"/>
    <col min="7428" max="7428" width="8.26953125" style="67" customWidth="1"/>
    <col min="7429" max="7429" width="1.7265625" style="67" customWidth="1"/>
    <col min="7430" max="7430" width="9.7265625" style="67" customWidth="1"/>
    <col min="7431" max="7431" width="11.7265625" style="67" customWidth="1"/>
    <col min="7432" max="7432" width="10.7265625" style="67" customWidth="1"/>
    <col min="7433" max="7433" width="1.7265625" style="67" customWidth="1"/>
    <col min="7434" max="7434" width="8.7265625" style="67" customWidth="1"/>
    <col min="7435" max="7435" width="11.7265625" style="67" customWidth="1"/>
    <col min="7436" max="7436" width="8.7265625" style="67" customWidth="1"/>
    <col min="7437" max="7680" width="11.453125" style="67"/>
    <col min="7681" max="7682" width="8.7265625" style="67" customWidth="1"/>
    <col min="7683" max="7683" width="11.7265625" style="67" customWidth="1"/>
    <col min="7684" max="7684" width="8.26953125" style="67" customWidth="1"/>
    <col min="7685" max="7685" width="1.7265625" style="67" customWidth="1"/>
    <col min="7686" max="7686" width="9.7265625" style="67" customWidth="1"/>
    <col min="7687" max="7687" width="11.7265625" style="67" customWidth="1"/>
    <col min="7688" max="7688" width="10.7265625" style="67" customWidth="1"/>
    <col min="7689" max="7689" width="1.7265625" style="67" customWidth="1"/>
    <col min="7690" max="7690" width="8.7265625" style="67" customWidth="1"/>
    <col min="7691" max="7691" width="11.7265625" style="67" customWidth="1"/>
    <col min="7692" max="7692" width="8.7265625" style="67" customWidth="1"/>
    <col min="7693" max="7936" width="11.453125" style="67"/>
    <col min="7937" max="7938" width="8.7265625" style="67" customWidth="1"/>
    <col min="7939" max="7939" width="11.7265625" style="67" customWidth="1"/>
    <col min="7940" max="7940" width="8.26953125" style="67" customWidth="1"/>
    <col min="7941" max="7941" width="1.7265625" style="67" customWidth="1"/>
    <col min="7942" max="7942" width="9.7265625" style="67" customWidth="1"/>
    <col min="7943" max="7943" width="11.7265625" style="67" customWidth="1"/>
    <col min="7944" max="7944" width="10.7265625" style="67" customWidth="1"/>
    <col min="7945" max="7945" width="1.7265625" style="67" customWidth="1"/>
    <col min="7946" max="7946" width="8.7265625" style="67" customWidth="1"/>
    <col min="7947" max="7947" width="11.7265625" style="67" customWidth="1"/>
    <col min="7948" max="7948" width="8.7265625" style="67" customWidth="1"/>
    <col min="7949" max="8192" width="11.453125" style="67"/>
    <col min="8193" max="8194" width="8.7265625" style="67" customWidth="1"/>
    <col min="8195" max="8195" width="11.7265625" style="67" customWidth="1"/>
    <col min="8196" max="8196" width="8.26953125" style="67" customWidth="1"/>
    <col min="8197" max="8197" width="1.7265625" style="67" customWidth="1"/>
    <col min="8198" max="8198" width="9.7265625" style="67" customWidth="1"/>
    <col min="8199" max="8199" width="11.7265625" style="67" customWidth="1"/>
    <col min="8200" max="8200" width="10.7265625" style="67" customWidth="1"/>
    <col min="8201" max="8201" width="1.7265625" style="67" customWidth="1"/>
    <col min="8202" max="8202" width="8.7265625" style="67" customWidth="1"/>
    <col min="8203" max="8203" width="11.7265625" style="67" customWidth="1"/>
    <col min="8204" max="8204" width="8.7265625" style="67" customWidth="1"/>
    <col min="8205" max="8448" width="11.453125" style="67"/>
    <col min="8449" max="8450" width="8.7265625" style="67" customWidth="1"/>
    <col min="8451" max="8451" width="11.7265625" style="67" customWidth="1"/>
    <col min="8452" max="8452" width="8.26953125" style="67" customWidth="1"/>
    <col min="8453" max="8453" width="1.7265625" style="67" customWidth="1"/>
    <col min="8454" max="8454" width="9.7265625" style="67" customWidth="1"/>
    <col min="8455" max="8455" width="11.7265625" style="67" customWidth="1"/>
    <col min="8456" max="8456" width="10.7265625" style="67" customWidth="1"/>
    <col min="8457" max="8457" width="1.7265625" style="67" customWidth="1"/>
    <col min="8458" max="8458" width="8.7265625" style="67" customWidth="1"/>
    <col min="8459" max="8459" width="11.7265625" style="67" customWidth="1"/>
    <col min="8460" max="8460" width="8.7265625" style="67" customWidth="1"/>
    <col min="8461" max="8704" width="11.453125" style="67"/>
    <col min="8705" max="8706" width="8.7265625" style="67" customWidth="1"/>
    <col min="8707" max="8707" width="11.7265625" style="67" customWidth="1"/>
    <col min="8708" max="8708" width="8.26953125" style="67" customWidth="1"/>
    <col min="8709" max="8709" width="1.7265625" style="67" customWidth="1"/>
    <col min="8710" max="8710" width="9.7265625" style="67" customWidth="1"/>
    <col min="8711" max="8711" width="11.7265625" style="67" customWidth="1"/>
    <col min="8712" max="8712" width="10.7265625" style="67" customWidth="1"/>
    <col min="8713" max="8713" width="1.7265625" style="67" customWidth="1"/>
    <col min="8714" max="8714" width="8.7265625" style="67" customWidth="1"/>
    <col min="8715" max="8715" width="11.7265625" style="67" customWidth="1"/>
    <col min="8716" max="8716" width="8.7265625" style="67" customWidth="1"/>
    <col min="8717" max="8960" width="11.453125" style="67"/>
    <col min="8961" max="8962" width="8.7265625" style="67" customWidth="1"/>
    <col min="8963" max="8963" width="11.7265625" style="67" customWidth="1"/>
    <col min="8964" max="8964" width="8.26953125" style="67" customWidth="1"/>
    <col min="8965" max="8965" width="1.7265625" style="67" customWidth="1"/>
    <col min="8966" max="8966" width="9.7265625" style="67" customWidth="1"/>
    <col min="8967" max="8967" width="11.7265625" style="67" customWidth="1"/>
    <col min="8968" max="8968" width="10.7265625" style="67" customWidth="1"/>
    <col min="8969" max="8969" width="1.7265625" style="67" customWidth="1"/>
    <col min="8970" max="8970" width="8.7265625" style="67" customWidth="1"/>
    <col min="8971" max="8971" width="11.7265625" style="67" customWidth="1"/>
    <col min="8972" max="8972" width="8.7265625" style="67" customWidth="1"/>
    <col min="8973" max="9216" width="11.453125" style="67"/>
    <col min="9217" max="9218" width="8.7265625" style="67" customWidth="1"/>
    <col min="9219" max="9219" width="11.7265625" style="67" customWidth="1"/>
    <col min="9220" max="9220" width="8.26953125" style="67" customWidth="1"/>
    <col min="9221" max="9221" width="1.7265625" style="67" customWidth="1"/>
    <col min="9222" max="9222" width="9.7265625" style="67" customWidth="1"/>
    <col min="9223" max="9223" width="11.7265625" style="67" customWidth="1"/>
    <col min="9224" max="9224" width="10.7265625" style="67" customWidth="1"/>
    <col min="9225" max="9225" width="1.7265625" style="67" customWidth="1"/>
    <col min="9226" max="9226" width="8.7265625" style="67" customWidth="1"/>
    <col min="9227" max="9227" width="11.7265625" style="67" customWidth="1"/>
    <col min="9228" max="9228" width="8.7265625" style="67" customWidth="1"/>
    <col min="9229" max="9472" width="11.453125" style="67"/>
    <col min="9473" max="9474" width="8.7265625" style="67" customWidth="1"/>
    <col min="9475" max="9475" width="11.7265625" style="67" customWidth="1"/>
    <col min="9476" max="9476" width="8.26953125" style="67" customWidth="1"/>
    <col min="9477" max="9477" width="1.7265625" style="67" customWidth="1"/>
    <col min="9478" max="9478" width="9.7265625" style="67" customWidth="1"/>
    <col min="9479" max="9479" width="11.7265625" style="67" customWidth="1"/>
    <col min="9480" max="9480" width="10.7265625" style="67" customWidth="1"/>
    <col min="9481" max="9481" width="1.7265625" style="67" customWidth="1"/>
    <col min="9482" max="9482" width="8.7265625" style="67" customWidth="1"/>
    <col min="9483" max="9483" width="11.7265625" style="67" customWidth="1"/>
    <col min="9484" max="9484" width="8.7265625" style="67" customWidth="1"/>
    <col min="9485" max="9728" width="11.453125" style="67"/>
    <col min="9729" max="9730" width="8.7265625" style="67" customWidth="1"/>
    <col min="9731" max="9731" width="11.7265625" style="67" customWidth="1"/>
    <col min="9732" max="9732" width="8.26953125" style="67" customWidth="1"/>
    <col min="9733" max="9733" width="1.7265625" style="67" customWidth="1"/>
    <col min="9734" max="9734" width="9.7265625" style="67" customWidth="1"/>
    <col min="9735" max="9735" width="11.7265625" style="67" customWidth="1"/>
    <col min="9736" max="9736" width="10.7265625" style="67" customWidth="1"/>
    <col min="9737" max="9737" width="1.7265625" style="67" customWidth="1"/>
    <col min="9738" max="9738" width="8.7265625" style="67" customWidth="1"/>
    <col min="9739" max="9739" width="11.7265625" style="67" customWidth="1"/>
    <col min="9740" max="9740" width="8.7265625" style="67" customWidth="1"/>
    <col min="9741" max="9984" width="11.453125" style="67"/>
    <col min="9985" max="9986" width="8.7265625" style="67" customWidth="1"/>
    <col min="9987" max="9987" width="11.7265625" style="67" customWidth="1"/>
    <col min="9988" max="9988" width="8.26953125" style="67" customWidth="1"/>
    <col min="9989" max="9989" width="1.7265625" style="67" customWidth="1"/>
    <col min="9990" max="9990" width="9.7265625" style="67" customWidth="1"/>
    <col min="9991" max="9991" width="11.7265625" style="67" customWidth="1"/>
    <col min="9992" max="9992" width="10.7265625" style="67" customWidth="1"/>
    <col min="9993" max="9993" width="1.7265625" style="67" customWidth="1"/>
    <col min="9994" max="9994" width="8.7265625" style="67" customWidth="1"/>
    <col min="9995" max="9995" width="11.7265625" style="67" customWidth="1"/>
    <col min="9996" max="9996" width="8.7265625" style="67" customWidth="1"/>
    <col min="9997" max="10240" width="11.453125" style="67"/>
    <col min="10241" max="10242" width="8.7265625" style="67" customWidth="1"/>
    <col min="10243" max="10243" width="11.7265625" style="67" customWidth="1"/>
    <col min="10244" max="10244" width="8.26953125" style="67" customWidth="1"/>
    <col min="10245" max="10245" width="1.7265625" style="67" customWidth="1"/>
    <col min="10246" max="10246" width="9.7265625" style="67" customWidth="1"/>
    <col min="10247" max="10247" width="11.7265625" style="67" customWidth="1"/>
    <col min="10248" max="10248" width="10.7265625" style="67" customWidth="1"/>
    <col min="10249" max="10249" width="1.7265625" style="67" customWidth="1"/>
    <col min="10250" max="10250" width="8.7265625" style="67" customWidth="1"/>
    <col min="10251" max="10251" width="11.7265625" style="67" customWidth="1"/>
    <col min="10252" max="10252" width="8.7265625" style="67" customWidth="1"/>
    <col min="10253" max="10496" width="11.453125" style="67"/>
    <col min="10497" max="10498" width="8.7265625" style="67" customWidth="1"/>
    <col min="10499" max="10499" width="11.7265625" style="67" customWidth="1"/>
    <col min="10500" max="10500" width="8.26953125" style="67" customWidth="1"/>
    <col min="10501" max="10501" width="1.7265625" style="67" customWidth="1"/>
    <col min="10502" max="10502" width="9.7265625" style="67" customWidth="1"/>
    <col min="10503" max="10503" width="11.7265625" style="67" customWidth="1"/>
    <col min="10504" max="10504" width="10.7265625" style="67" customWidth="1"/>
    <col min="10505" max="10505" width="1.7265625" style="67" customWidth="1"/>
    <col min="10506" max="10506" width="8.7265625" style="67" customWidth="1"/>
    <col min="10507" max="10507" width="11.7265625" style="67" customWidth="1"/>
    <col min="10508" max="10508" width="8.7265625" style="67" customWidth="1"/>
    <col min="10509" max="10752" width="11.453125" style="67"/>
    <col min="10753" max="10754" width="8.7265625" style="67" customWidth="1"/>
    <col min="10755" max="10755" width="11.7265625" style="67" customWidth="1"/>
    <col min="10756" max="10756" width="8.26953125" style="67" customWidth="1"/>
    <col min="10757" max="10757" width="1.7265625" style="67" customWidth="1"/>
    <col min="10758" max="10758" width="9.7265625" style="67" customWidth="1"/>
    <col min="10759" max="10759" width="11.7265625" style="67" customWidth="1"/>
    <col min="10760" max="10760" width="10.7265625" style="67" customWidth="1"/>
    <col min="10761" max="10761" width="1.7265625" style="67" customWidth="1"/>
    <col min="10762" max="10762" width="8.7265625" style="67" customWidth="1"/>
    <col min="10763" max="10763" width="11.7265625" style="67" customWidth="1"/>
    <col min="10764" max="10764" width="8.7265625" style="67" customWidth="1"/>
    <col min="10765" max="11008" width="11.453125" style="67"/>
    <col min="11009" max="11010" width="8.7265625" style="67" customWidth="1"/>
    <col min="11011" max="11011" width="11.7265625" style="67" customWidth="1"/>
    <col min="11012" max="11012" width="8.26953125" style="67" customWidth="1"/>
    <col min="11013" max="11013" width="1.7265625" style="67" customWidth="1"/>
    <col min="11014" max="11014" width="9.7265625" style="67" customWidth="1"/>
    <col min="11015" max="11015" width="11.7265625" style="67" customWidth="1"/>
    <col min="11016" max="11016" width="10.7265625" style="67" customWidth="1"/>
    <col min="11017" max="11017" width="1.7265625" style="67" customWidth="1"/>
    <col min="11018" max="11018" width="8.7265625" style="67" customWidth="1"/>
    <col min="11019" max="11019" width="11.7265625" style="67" customWidth="1"/>
    <col min="11020" max="11020" width="8.7265625" style="67" customWidth="1"/>
    <col min="11021" max="11264" width="11.453125" style="67"/>
    <col min="11265" max="11266" width="8.7265625" style="67" customWidth="1"/>
    <col min="11267" max="11267" width="11.7265625" style="67" customWidth="1"/>
    <col min="11268" max="11268" width="8.26953125" style="67" customWidth="1"/>
    <col min="11269" max="11269" width="1.7265625" style="67" customWidth="1"/>
    <col min="11270" max="11270" width="9.7265625" style="67" customWidth="1"/>
    <col min="11271" max="11271" width="11.7265625" style="67" customWidth="1"/>
    <col min="11272" max="11272" width="10.7265625" style="67" customWidth="1"/>
    <col min="11273" max="11273" width="1.7265625" style="67" customWidth="1"/>
    <col min="11274" max="11274" width="8.7265625" style="67" customWidth="1"/>
    <col min="11275" max="11275" width="11.7265625" style="67" customWidth="1"/>
    <col min="11276" max="11276" width="8.7265625" style="67" customWidth="1"/>
    <col min="11277" max="11520" width="11.453125" style="67"/>
    <col min="11521" max="11522" width="8.7265625" style="67" customWidth="1"/>
    <col min="11523" max="11523" width="11.7265625" style="67" customWidth="1"/>
    <col min="11524" max="11524" width="8.26953125" style="67" customWidth="1"/>
    <col min="11525" max="11525" width="1.7265625" style="67" customWidth="1"/>
    <col min="11526" max="11526" width="9.7265625" style="67" customWidth="1"/>
    <col min="11527" max="11527" width="11.7265625" style="67" customWidth="1"/>
    <col min="11528" max="11528" width="10.7265625" style="67" customWidth="1"/>
    <col min="11529" max="11529" width="1.7265625" style="67" customWidth="1"/>
    <col min="11530" max="11530" width="8.7265625" style="67" customWidth="1"/>
    <col min="11531" max="11531" width="11.7265625" style="67" customWidth="1"/>
    <col min="11532" max="11532" width="8.7265625" style="67" customWidth="1"/>
    <col min="11533" max="11776" width="11.453125" style="67"/>
    <col min="11777" max="11778" width="8.7265625" style="67" customWidth="1"/>
    <col min="11779" max="11779" width="11.7265625" style="67" customWidth="1"/>
    <col min="11780" max="11780" width="8.26953125" style="67" customWidth="1"/>
    <col min="11781" max="11781" width="1.7265625" style="67" customWidth="1"/>
    <col min="11782" max="11782" width="9.7265625" style="67" customWidth="1"/>
    <col min="11783" max="11783" width="11.7265625" style="67" customWidth="1"/>
    <col min="11784" max="11784" width="10.7265625" style="67" customWidth="1"/>
    <col min="11785" max="11785" width="1.7265625" style="67" customWidth="1"/>
    <col min="11786" max="11786" width="8.7265625" style="67" customWidth="1"/>
    <col min="11787" max="11787" width="11.7265625" style="67" customWidth="1"/>
    <col min="11788" max="11788" width="8.7265625" style="67" customWidth="1"/>
    <col min="11789" max="12032" width="11.453125" style="67"/>
    <col min="12033" max="12034" width="8.7265625" style="67" customWidth="1"/>
    <col min="12035" max="12035" width="11.7265625" style="67" customWidth="1"/>
    <col min="12036" max="12036" width="8.26953125" style="67" customWidth="1"/>
    <col min="12037" max="12037" width="1.7265625" style="67" customWidth="1"/>
    <col min="12038" max="12038" width="9.7265625" style="67" customWidth="1"/>
    <col min="12039" max="12039" width="11.7265625" style="67" customWidth="1"/>
    <col min="12040" max="12040" width="10.7265625" style="67" customWidth="1"/>
    <col min="12041" max="12041" width="1.7265625" style="67" customWidth="1"/>
    <col min="12042" max="12042" width="8.7265625" style="67" customWidth="1"/>
    <col min="12043" max="12043" width="11.7265625" style="67" customWidth="1"/>
    <col min="12044" max="12044" width="8.7265625" style="67" customWidth="1"/>
    <col min="12045" max="12288" width="11.453125" style="67"/>
    <col min="12289" max="12290" width="8.7265625" style="67" customWidth="1"/>
    <col min="12291" max="12291" width="11.7265625" style="67" customWidth="1"/>
    <col min="12292" max="12292" width="8.26953125" style="67" customWidth="1"/>
    <col min="12293" max="12293" width="1.7265625" style="67" customWidth="1"/>
    <col min="12294" max="12294" width="9.7265625" style="67" customWidth="1"/>
    <col min="12295" max="12295" width="11.7265625" style="67" customWidth="1"/>
    <col min="12296" max="12296" width="10.7265625" style="67" customWidth="1"/>
    <col min="12297" max="12297" width="1.7265625" style="67" customWidth="1"/>
    <col min="12298" max="12298" width="8.7265625" style="67" customWidth="1"/>
    <col min="12299" max="12299" width="11.7265625" style="67" customWidth="1"/>
    <col min="12300" max="12300" width="8.7265625" style="67" customWidth="1"/>
    <col min="12301" max="12544" width="11.453125" style="67"/>
    <col min="12545" max="12546" width="8.7265625" style="67" customWidth="1"/>
    <col min="12547" max="12547" width="11.7265625" style="67" customWidth="1"/>
    <col min="12548" max="12548" width="8.26953125" style="67" customWidth="1"/>
    <col min="12549" max="12549" width="1.7265625" style="67" customWidth="1"/>
    <col min="12550" max="12550" width="9.7265625" style="67" customWidth="1"/>
    <col min="12551" max="12551" width="11.7265625" style="67" customWidth="1"/>
    <col min="12552" max="12552" width="10.7265625" style="67" customWidth="1"/>
    <col min="12553" max="12553" width="1.7265625" style="67" customWidth="1"/>
    <col min="12554" max="12554" width="8.7265625" style="67" customWidth="1"/>
    <col min="12555" max="12555" width="11.7265625" style="67" customWidth="1"/>
    <col min="12556" max="12556" width="8.7265625" style="67" customWidth="1"/>
    <col min="12557" max="12800" width="11.453125" style="67"/>
    <col min="12801" max="12802" width="8.7265625" style="67" customWidth="1"/>
    <col min="12803" max="12803" width="11.7265625" style="67" customWidth="1"/>
    <col min="12804" max="12804" width="8.26953125" style="67" customWidth="1"/>
    <col min="12805" max="12805" width="1.7265625" style="67" customWidth="1"/>
    <col min="12806" max="12806" width="9.7265625" style="67" customWidth="1"/>
    <col min="12807" max="12807" width="11.7265625" style="67" customWidth="1"/>
    <col min="12808" max="12808" width="10.7265625" style="67" customWidth="1"/>
    <col min="12809" max="12809" width="1.7265625" style="67" customWidth="1"/>
    <col min="12810" max="12810" width="8.7265625" style="67" customWidth="1"/>
    <col min="12811" max="12811" width="11.7265625" style="67" customWidth="1"/>
    <col min="12812" max="12812" width="8.7265625" style="67" customWidth="1"/>
    <col min="12813" max="13056" width="11.453125" style="67"/>
    <col min="13057" max="13058" width="8.7265625" style="67" customWidth="1"/>
    <col min="13059" max="13059" width="11.7265625" style="67" customWidth="1"/>
    <col min="13060" max="13060" width="8.26953125" style="67" customWidth="1"/>
    <col min="13061" max="13061" width="1.7265625" style="67" customWidth="1"/>
    <col min="13062" max="13062" width="9.7265625" style="67" customWidth="1"/>
    <col min="13063" max="13063" width="11.7265625" style="67" customWidth="1"/>
    <col min="13064" max="13064" width="10.7265625" style="67" customWidth="1"/>
    <col min="13065" max="13065" width="1.7265625" style="67" customWidth="1"/>
    <col min="13066" max="13066" width="8.7265625" style="67" customWidth="1"/>
    <col min="13067" max="13067" width="11.7265625" style="67" customWidth="1"/>
    <col min="13068" max="13068" width="8.7265625" style="67" customWidth="1"/>
    <col min="13069" max="13312" width="11.453125" style="67"/>
    <col min="13313" max="13314" width="8.7265625" style="67" customWidth="1"/>
    <col min="13315" max="13315" width="11.7265625" style="67" customWidth="1"/>
    <col min="13316" max="13316" width="8.26953125" style="67" customWidth="1"/>
    <col min="13317" max="13317" width="1.7265625" style="67" customWidth="1"/>
    <col min="13318" max="13318" width="9.7265625" style="67" customWidth="1"/>
    <col min="13319" max="13319" width="11.7265625" style="67" customWidth="1"/>
    <col min="13320" max="13320" width="10.7265625" style="67" customWidth="1"/>
    <col min="13321" max="13321" width="1.7265625" style="67" customWidth="1"/>
    <col min="13322" max="13322" width="8.7265625" style="67" customWidth="1"/>
    <col min="13323" max="13323" width="11.7265625" style="67" customWidth="1"/>
    <col min="13324" max="13324" width="8.7265625" style="67" customWidth="1"/>
    <col min="13325" max="13568" width="11.453125" style="67"/>
    <col min="13569" max="13570" width="8.7265625" style="67" customWidth="1"/>
    <col min="13571" max="13571" width="11.7265625" style="67" customWidth="1"/>
    <col min="13572" max="13572" width="8.26953125" style="67" customWidth="1"/>
    <col min="13573" max="13573" width="1.7265625" style="67" customWidth="1"/>
    <col min="13574" max="13574" width="9.7265625" style="67" customWidth="1"/>
    <col min="13575" max="13575" width="11.7265625" style="67" customWidth="1"/>
    <col min="13576" max="13576" width="10.7265625" style="67" customWidth="1"/>
    <col min="13577" max="13577" width="1.7265625" style="67" customWidth="1"/>
    <col min="13578" max="13578" width="8.7265625" style="67" customWidth="1"/>
    <col min="13579" max="13579" width="11.7265625" style="67" customWidth="1"/>
    <col min="13580" max="13580" width="8.7265625" style="67" customWidth="1"/>
    <col min="13581" max="13824" width="11.453125" style="67"/>
    <col min="13825" max="13826" width="8.7265625" style="67" customWidth="1"/>
    <col min="13827" max="13827" width="11.7265625" style="67" customWidth="1"/>
    <col min="13828" max="13828" width="8.26953125" style="67" customWidth="1"/>
    <col min="13829" max="13829" width="1.7265625" style="67" customWidth="1"/>
    <col min="13830" max="13830" width="9.7265625" style="67" customWidth="1"/>
    <col min="13831" max="13831" width="11.7265625" style="67" customWidth="1"/>
    <col min="13832" max="13832" width="10.7265625" style="67" customWidth="1"/>
    <col min="13833" max="13833" width="1.7265625" style="67" customWidth="1"/>
    <col min="13834" max="13834" width="8.7265625" style="67" customWidth="1"/>
    <col min="13835" max="13835" width="11.7265625" style="67" customWidth="1"/>
    <col min="13836" max="13836" width="8.7265625" style="67" customWidth="1"/>
    <col min="13837" max="14080" width="11.453125" style="67"/>
    <col min="14081" max="14082" width="8.7265625" style="67" customWidth="1"/>
    <col min="14083" max="14083" width="11.7265625" style="67" customWidth="1"/>
    <col min="14084" max="14084" width="8.26953125" style="67" customWidth="1"/>
    <col min="14085" max="14085" width="1.7265625" style="67" customWidth="1"/>
    <col min="14086" max="14086" width="9.7265625" style="67" customWidth="1"/>
    <col min="14087" max="14087" width="11.7265625" style="67" customWidth="1"/>
    <col min="14088" max="14088" width="10.7265625" style="67" customWidth="1"/>
    <col min="14089" max="14089" width="1.7265625" style="67" customWidth="1"/>
    <col min="14090" max="14090" width="8.7265625" style="67" customWidth="1"/>
    <col min="14091" max="14091" width="11.7265625" style="67" customWidth="1"/>
    <col min="14092" max="14092" width="8.7265625" style="67" customWidth="1"/>
    <col min="14093" max="14336" width="11.453125" style="67"/>
    <col min="14337" max="14338" width="8.7265625" style="67" customWidth="1"/>
    <col min="14339" max="14339" width="11.7265625" style="67" customWidth="1"/>
    <col min="14340" max="14340" width="8.26953125" style="67" customWidth="1"/>
    <col min="14341" max="14341" width="1.7265625" style="67" customWidth="1"/>
    <col min="14342" max="14342" width="9.7265625" style="67" customWidth="1"/>
    <col min="14343" max="14343" width="11.7265625" style="67" customWidth="1"/>
    <col min="14344" max="14344" width="10.7265625" style="67" customWidth="1"/>
    <col min="14345" max="14345" width="1.7265625" style="67" customWidth="1"/>
    <col min="14346" max="14346" width="8.7265625" style="67" customWidth="1"/>
    <col min="14347" max="14347" width="11.7265625" style="67" customWidth="1"/>
    <col min="14348" max="14348" width="8.7265625" style="67" customWidth="1"/>
    <col min="14349" max="14592" width="11.453125" style="67"/>
    <col min="14593" max="14594" width="8.7265625" style="67" customWidth="1"/>
    <col min="14595" max="14595" width="11.7265625" style="67" customWidth="1"/>
    <col min="14596" max="14596" width="8.26953125" style="67" customWidth="1"/>
    <col min="14597" max="14597" width="1.7265625" style="67" customWidth="1"/>
    <col min="14598" max="14598" width="9.7265625" style="67" customWidth="1"/>
    <col min="14599" max="14599" width="11.7265625" style="67" customWidth="1"/>
    <col min="14600" max="14600" width="10.7265625" style="67" customWidth="1"/>
    <col min="14601" max="14601" width="1.7265625" style="67" customWidth="1"/>
    <col min="14602" max="14602" width="8.7265625" style="67" customWidth="1"/>
    <col min="14603" max="14603" width="11.7265625" style="67" customWidth="1"/>
    <col min="14604" max="14604" width="8.7265625" style="67" customWidth="1"/>
    <col min="14605" max="14848" width="11.453125" style="67"/>
    <col min="14849" max="14850" width="8.7265625" style="67" customWidth="1"/>
    <col min="14851" max="14851" width="11.7265625" style="67" customWidth="1"/>
    <col min="14852" max="14852" width="8.26953125" style="67" customWidth="1"/>
    <col min="14853" max="14853" width="1.7265625" style="67" customWidth="1"/>
    <col min="14854" max="14854" width="9.7265625" style="67" customWidth="1"/>
    <col min="14855" max="14855" width="11.7265625" style="67" customWidth="1"/>
    <col min="14856" max="14856" width="10.7265625" style="67" customWidth="1"/>
    <col min="14857" max="14857" width="1.7265625" style="67" customWidth="1"/>
    <col min="14858" max="14858" width="8.7265625" style="67" customWidth="1"/>
    <col min="14859" max="14859" width="11.7265625" style="67" customWidth="1"/>
    <col min="14860" max="14860" width="8.7265625" style="67" customWidth="1"/>
    <col min="14861" max="15104" width="11.453125" style="67"/>
    <col min="15105" max="15106" width="8.7265625" style="67" customWidth="1"/>
    <col min="15107" max="15107" width="11.7265625" style="67" customWidth="1"/>
    <col min="15108" max="15108" width="8.26953125" style="67" customWidth="1"/>
    <col min="15109" max="15109" width="1.7265625" style="67" customWidth="1"/>
    <col min="15110" max="15110" width="9.7265625" style="67" customWidth="1"/>
    <col min="15111" max="15111" width="11.7265625" style="67" customWidth="1"/>
    <col min="15112" max="15112" width="10.7265625" style="67" customWidth="1"/>
    <col min="15113" max="15113" width="1.7265625" style="67" customWidth="1"/>
    <col min="15114" max="15114" width="8.7265625" style="67" customWidth="1"/>
    <col min="15115" max="15115" width="11.7265625" style="67" customWidth="1"/>
    <col min="15116" max="15116" width="8.7265625" style="67" customWidth="1"/>
    <col min="15117" max="15360" width="11.453125" style="67"/>
    <col min="15361" max="15362" width="8.7265625" style="67" customWidth="1"/>
    <col min="15363" max="15363" width="11.7265625" style="67" customWidth="1"/>
    <col min="15364" max="15364" width="8.26953125" style="67" customWidth="1"/>
    <col min="15365" max="15365" width="1.7265625" style="67" customWidth="1"/>
    <col min="15366" max="15366" width="9.7265625" style="67" customWidth="1"/>
    <col min="15367" max="15367" width="11.7265625" style="67" customWidth="1"/>
    <col min="15368" max="15368" width="10.7265625" style="67" customWidth="1"/>
    <col min="15369" max="15369" width="1.7265625" style="67" customWidth="1"/>
    <col min="15370" max="15370" width="8.7265625" style="67" customWidth="1"/>
    <col min="15371" max="15371" width="11.7265625" style="67" customWidth="1"/>
    <col min="15372" max="15372" width="8.7265625" style="67" customWidth="1"/>
    <col min="15373" max="15616" width="11.453125" style="67"/>
    <col min="15617" max="15618" width="8.7265625" style="67" customWidth="1"/>
    <col min="15619" max="15619" width="11.7265625" style="67" customWidth="1"/>
    <col min="15620" max="15620" width="8.26953125" style="67" customWidth="1"/>
    <col min="15621" max="15621" width="1.7265625" style="67" customWidth="1"/>
    <col min="15622" max="15622" width="9.7265625" style="67" customWidth="1"/>
    <col min="15623" max="15623" width="11.7265625" style="67" customWidth="1"/>
    <col min="15624" max="15624" width="10.7265625" style="67" customWidth="1"/>
    <col min="15625" max="15625" width="1.7265625" style="67" customWidth="1"/>
    <col min="15626" max="15626" width="8.7265625" style="67" customWidth="1"/>
    <col min="15627" max="15627" width="11.7265625" style="67" customWidth="1"/>
    <col min="15628" max="15628" width="8.7265625" style="67" customWidth="1"/>
    <col min="15629" max="15872" width="11.453125" style="67"/>
    <col min="15873" max="15874" width="8.7265625" style="67" customWidth="1"/>
    <col min="15875" max="15875" width="11.7265625" style="67" customWidth="1"/>
    <col min="15876" max="15876" width="8.26953125" style="67" customWidth="1"/>
    <col min="15877" max="15877" width="1.7265625" style="67" customWidth="1"/>
    <col min="15878" max="15878" width="9.7265625" style="67" customWidth="1"/>
    <col min="15879" max="15879" width="11.7265625" style="67" customWidth="1"/>
    <col min="15880" max="15880" width="10.7265625" style="67" customWidth="1"/>
    <col min="15881" max="15881" width="1.7265625" style="67" customWidth="1"/>
    <col min="15882" max="15882" width="8.7265625" style="67" customWidth="1"/>
    <col min="15883" max="15883" width="11.7265625" style="67" customWidth="1"/>
    <col min="15884" max="15884" width="8.7265625" style="67" customWidth="1"/>
    <col min="15885" max="16128" width="11.453125" style="67"/>
    <col min="16129" max="16130" width="8.7265625" style="67" customWidth="1"/>
    <col min="16131" max="16131" width="11.7265625" style="67" customWidth="1"/>
    <col min="16132" max="16132" width="8.26953125" style="67" customWidth="1"/>
    <col min="16133" max="16133" width="1.7265625" style="67" customWidth="1"/>
    <col min="16134" max="16134" width="9.7265625" style="67" customWidth="1"/>
    <col min="16135" max="16135" width="11.7265625" style="67" customWidth="1"/>
    <col min="16136" max="16136" width="10.7265625" style="67" customWidth="1"/>
    <col min="16137" max="16137" width="1.7265625" style="67" customWidth="1"/>
    <col min="16138" max="16138" width="8.7265625" style="67" customWidth="1"/>
    <col min="16139" max="16139" width="11.7265625" style="67" customWidth="1"/>
    <col min="16140" max="16140" width="8.7265625" style="67" customWidth="1"/>
    <col min="16141" max="16384" width="11.453125" style="67"/>
  </cols>
  <sheetData>
    <row r="1" spans="1:12" ht="14" x14ac:dyDescent="0.3">
      <c r="A1" s="6" t="s">
        <v>60</v>
      </c>
      <c r="B1" s="7"/>
      <c r="C1" s="7"/>
      <c r="D1" s="7"/>
      <c r="E1" s="8"/>
      <c r="F1" s="7"/>
      <c r="G1" s="7"/>
      <c r="H1" s="7"/>
      <c r="I1" s="8"/>
      <c r="J1" s="7"/>
      <c r="K1" s="7"/>
      <c r="L1" s="7"/>
    </row>
    <row r="2" spans="1:12" ht="14" x14ac:dyDescent="0.3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</row>
    <row r="3" spans="1:12" x14ac:dyDescent="0.25">
      <c r="A3" s="66"/>
      <c r="B3" s="61"/>
      <c r="C3" s="61"/>
      <c r="D3" s="61"/>
      <c r="E3" s="58"/>
      <c r="F3" s="61"/>
      <c r="G3" s="61"/>
      <c r="H3" s="61"/>
      <c r="I3" s="58"/>
      <c r="J3" s="61"/>
      <c r="K3" s="61"/>
      <c r="L3" s="61"/>
    </row>
    <row r="4" spans="1:12" x14ac:dyDescent="0.25">
      <c r="A4" s="74"/>
      <c r="B4" s="75" t="s">
        <v>34</v>
      </c>
      <c r="C4" s="75"/>
      <c r="D4" s="75"/>
      <c r="E4" s="76"/>
      <c r="F4" s="75" t="s">
        <v>49</v>
      </c>
      <c r="G4" s="75"/>
      <c r="H4" s="75"/>
      <c r="I4" s="76"/>
      <c r="J4" s="75" t="s">
        <v>55</v>
      </c>
      <c r="K4" s="75"/>
      <c r="L4" s="75"/>
    </row>
    <row r="5" spans="1:12" s="72" customFormat="1" x14ac:dyDescent="0.25">
      <c r="A5" s="85"/>
      <c r="B5" s="78" t="s">
        <v>56</v>
      </c>
      <c r="C5" s="78" t="s">
        <v>57</v>
      </c>
      <c r="D5" s="78"/>
      <c r="E5" s="79"/>
      <c r="F5" s="78" t="s">
        <v>56</v>
      </c>
      <c r="G5" s="78" t="s">
        <v>57</v>
      </c>
      <c r="H5" s="78"/>
      <c r="I5" s="79"/>
      <c r="J5" s="78" t="s">
        <v>56</v>
      </c>
      <c r="K5" s="78" t="s">
        <v>57</v>
      </c>
      <c r="L5" s="78"/>
    </row>
    <row r="6" spans="1:12" s="72" customFormat="1" x14ac:dyDescent="0.25">
      <c r="A6" s="86"/>
      <c r="B6" s="23" t="s">
        <v>58</v>
      </c>
      <c r="C6" s="23" t="s">
        <v>58</v>
      </c>
      <c r="D6" s="23" t="s">
        <v>35</v>
      </c>
      <c r="E6" s="25"/>
      <c r="F6" s="23" t="s">
        <v>58</v>
      </c>
      <c r="G6" s="23" t="s">
        <v>58</v>
      </c>
      <c r="H6" s="23" t="s">
        <v>35</v>
      </c>
      <c r="I6" s="25"/>
      <c r="J6" s="23" t="s">
        <v>58</v>
      </c>
      <c r="K6" s="23" t="s">
        <v>58</v>
      </c>
      <c r="L6" s="23" t="s">
        <v>35</v>
      </c>
    </row>
    <row r="7" spans="1:12" s="72" customFormat="1" x14ac:dyDescent="0.25">
      <c r="A7" s="31"/>
      <c r="B7" s="28"/>
      <c r="C7" s="28"/>
      <c r="D7" s="28"/>
      <c r="E7" s="30"/>
      <c r="F7" s="28"/>
      <c r="G7" s="28"/>
      <c r="H7" s="28"/>
      <c r="I7" s="30"/>
      <c r="J7" s="28"/>
      <c r="K7" s="28"/>
      <c r="L7" s="28"/>
    </row>
    <row r="8" spans="1:12" s="72" customFormat="1" hidden="1" x14ac:dyDescent="0.25">
      <c r="A8" s="31">
        <v>1986</v>
      </c>
      <c r="B8" s="32">
        <v>67630</v>
      </c>
      <c r="C8" s="32">
        <v>6876</v>
      </c>
      <c r="D8" s="32">
        <v>74506</v>
      </c>
      <c r="E8" s="33"/>
      <c r="F8" s="32">
        <v>5650423</v>
      </c>
      <c r="G8" s="32">
        <v>446994</v>
      </c>
      <c r="H8" s="32">
        <v>6097417</v>
      </c>
      <c r="I8" s="33"/>
      <c r="J8" s="32">
        <v>46410</v>
      </c>
      <c r="K8" s="32">
        <v>644</v>
      </c>
      <c r="L8" s="32">
        <v>47054</v>
      </c>
    </row>
    <row r="9" spans="1:12" s="72" customFormat="1" x14ac:dyDescent="0.25">
      <c r="A9" s="31">
        <v>1987</v>
      </c>
      <c r="B9" s="32">
        <v>70770</v>
      </c>
      <c r="C9" s="32">
        <v>6246</v>
      </c>
      <c r="D9" s="32">
        <v>77016</v>
      </c>
      <c r="E9" s="33"/>
      <c r="F9" s="32">
        <v>6297623</v>
      </c>
      <c r="G9" s="32">
        <v>362936</v>
      </c>
      <c r="H9" s="32">
        <v>6660559</v>
      </c>
      <c r="I9" s="33"/>
      <c r="J9" s="32">
        <v>43697</v>
      </c>
      <c r="K9" s="32">
        <v>1357</v>
      </c>
      <c r="L9" s="32">
        <v>45054</v>
      </c>
    </row>
    <row r="10" spans="1:12" s="72" customFormat="1" x14ac:dyDescent="0.25">
      <c r="A10" s="36">
        <v>1988</v>
      </c>
      <c r="B10" s="37">
        <v>82396</v>
      </c>
      <c r="C10" s="37">
        <v>13867</v>
      </c>
      <c r="D10" s="37">
        <v>96263</v>
      </c>
      <c r="E10" s="39"/>
      <c r="F10" s="37">
        <v>6816340</v>
      </c>
      <c r="G10" s="37">
        <v>417682</v>
      </c>
      <c r="H10" s="37">
        <v>7234022</v>
      </c>
      <c r="I10" s="39"/>
      <c r="J10" s="37">
        <v>51137</v>
      </c>
      <c r="K10" s="37">
        <v>4505</v>
      </c>
      <c r="L10" s="37">
        <v>55642</v>
      </c>
    </row>
    <row r="11" spans="1:12" s="72" customFormat="1" x14ac:dyDescent="0.25">
      <c r="A11" s="31">
        <v>1989</v>
      </c>
      <c r="B11" s="32">
        <v>92797</v>
      </c>
      <c r="C11" s="32">
        <v>13332</v>
      </c>
      <c r="D11" s="32">
        <v>106129</v>
      </c>
      <c r="E11" s="33"/>
      <c r="F11" s="32">
        <v>7566000</v>
      </c>
      <c r="G11" s="32">
        <v>580000</v>
      </c>
      <c r="H11" s="32">
        <v>8146000</v>
      </c>
      <c r="I11" s="33"/>
      <c r="J11" s="32">
        <v>59039</v>
      </c>
      <c r="K11" s="32">
        <v>2283</v>
      </c>
      <c r="L11" s="32">
        <v>61322</v>
      </c>
    </row>
    <row r="12" spans="1:12" s="72" customFormat="1" x14ac:dyDescent="0.25">
      <c r="A12" s="36">
        <v>1990</v>
      </c>
      <c r="B12" s="37">
        <v>104520</v>
      </c>
      <c r="C12" s="37">
        <v>13211</v>
      </c>
      <c r="D12" s="37">
        <v>117731</v>
      </c>
      <c r="E12" s="39"/>
      <c r="F12" s="37">
        <v>8358433</v>
      </c>
      <c r="G12" s="37">
        <v>682815</v>
      </c>
      <c r="H12" s="37">
        <v>9041248</v>
      </c>
      <c r="I12" s="39"/>
      <c r="J12" s="37">
        <v>63039</v>
      </c>
      <c r="K12" s="37">
        <v>2974</v>
      </c>
      <c r="L12" s="37">
        <v>66013</v>
      </c>
    </row>
    <row r="13" spans="1:12" s="72" customFormat="1" x14ac:dyDescent="0.25">
      <c r="A13" s="31">
        <v>1991</v>
      </c>
      <c r="B13" s="32">
        <v>111903</v>
      </c>
      <c r="C13" s="32">
        <v>11146</v>
      </c>
      <c r="D13" s="32">
        <v>123049</v>
      </c>
      <c r="E13" s="33"/>
      <c r="F13" s="32">
        <v>8204438</v>
      </c>
      <c r="G13" s="32">
        <v>756796</v>
      </c>
      <c r="H13" s="32">
        <v>8961234</v>
      </c>
      <c r="I13" s="33"/>
      <c r="J13" s="32">
        <v>61947</v>
      </c>
      <c r="K13" s="32">
        <v>715</v>
      </c>
      <c r="L13" s="32">
        <v>62662</v>
      </c>
    </row>
    <row r="14" spans="1:12" s="72" customFormat="1" x14ac:dyDescent="0.25">
      <c r="A14" s="36">
        <v>1992</v>
      </c>
      <c r="B14" s="37">
        <v>125058</v>
      </c>
      <c r="C14" s="37">
        <v>11023</v>
      </c>
      <c r="D14" s="37">
        <v>136081</v>
      </c>
      <c r="E14" s="39"/>
      <c r="F14" s="37">
        <v>9287415</v>
      </c>
      <c r="G14" s="37">
        <v>748795</v>
      </c>
      <c r="H14" s="37">
        <v>10036210</v>
      </c>
      <c r="I14" s="39"/>
      <c r="J14" s="37">
        <v>70531</v>
      </c>
      <c r="K14" s="37">
        <v>1890</v>
      </c>
      <c r="L14" s="37">
        <v>72421</v>
      </c>
    </row>
    <row r="15" spans="1:12" s="72" customFormat="1" x14ac:dyDescent="0.25">
      <c r="A15" s="31">
        <v>1993</v>
      </c>
      <c r="B15" s="32">
        <v>122466</v>
      </c>
      <c r="C15" s="32">
        <v>11076</v>
      </c>
      <c r="D15" s="32">
        <v>133542</v>
      </c>
      <c r="E15" s="33"/>
      <c r="F15" s="32">
        <v>8969614</v>
      </c>
      <c r="G15" s="32">
        <v>684526</v>
      </c>
      <c r="H15" s="32">
        <v>9654140</v>
      </c>
      <c r="I15" s="33"/>
      <c r="J15" s="32">
        <v>55639</v>
      </c>
      <c r="K15" s="32">
        <v>1838</v>
      </c>
      <c r="L15" s="32">
        <v>57477</v>
      </c>
    </row>
    <row r="16" spans="1:12" s="72" customFormat="1" x14ac:dyDescent="0.25">
      <c r="A16" s="36">
        <v>1994</v>
      </c>
      <c r="B16" s="37">
        <v>126019</v>
      </c>
      <c r="C16" s="37">
        <v>16039</v>
      </c>
      <c r="D16" s="37">
        <v>142058</v>
      </c>
      <c r="E16" s="39"/>
      <c r="F16" s="37">
        <v>9641981</v>
      </c>
      <c r="G16" s="37">
        <v>654714</v>
      </c>
      <c r="H16" s="37">
        <v>10296695</v>
      </c>
      <c r="I16" s="39"/>
      <c r="J16" s="37">
        <v>47809.864000000001</v>
      </c>
      <c r="K16" s="37">
        <v>11074</v>
      </c>
      <c r="L16" s="37">
        <v>58883.864000000001</v>
      </c>
    </row>
    <row r="17" spans="1:12" s="72" customFormat="1" x14ac:dyDescent="0.25">
      <c r="A17" s="31">
        <v>1995</v>
      </c>
      <c r="B17" s="32">
        <v>135820</v>
      </c>
      <c r="C17" s="32">
        <v>16200</v>
      </c>
      <c r="D17" s="32">
        <v>152020</v>
      </c>
      <c r="E17" s="33"/>
      <c r="F17" s="32">
        <v>10774947</v>
      </c>
      <c r="G17" s="32">
        <v>538441</v>
      </c>
      <c r="H17" s="32">
        <v>11313388</v>
      </c>
      <c r="I17" s="33"/>
      <c r="J17" s="32">
        <v>54946.885000000002</v>
      </c>
      <c r="K17" s="32">
        <v>13571.712</v>
      </c>
      <c r="L17" s="32">
        <v>68518.596999999994</v>
      </c>
    </row>
    <row r="18" spans="1:12" s="72" customFormat="1" x14ac:dyDescent="0.25">
      <c r="A18" s="36">
        <v>1996</v>
      </c>
      <c r="B18" s="37">
        <v>158035</v>
      </c>
      <c r="C18" s="37">
        <v>18723</v>
      </c>
      <c r="D18" s="37">
        <v>176758</v>
      </c>
      <c r="E18" s="39"/>
      <c r="F18" s="37">
        <v>12233937</v>
      </c>
      <c r="G18" s="37">
        <v>684760</v>
      </c>
      <c r="H18" s="37">
        <v>12918697</v>
      </c>
      <c r="I18" s="39"/>
      <c r="J18" s="37">
        <v>59965</v>
      </c>
      <c r="K18" s="37">
        <v>16683</v>
      </c>
      <c r="L18" s="37">
        <v>76648</v>
      </c>
    </row>
    <row r="19" spans="1:12" s="72" customFormat="1" x14ac:dyDescent="0.25">
      <c r="A19" s="31">
        <v>1997</v>
      </c>
      <c r="B19" s="32">
        <f>97320+87366</f>
        <v>184686</v>
      </c>
      <c r="C19" s="32">
        <f>14122+8121</f>
        <v>22243</v>
      </c>
      <c r="D19" s="32">
        <f t="shared" ref="D19:D32" si="0">B19+C19</f>
        <v>206929</v>
      </c>
      <c r="E19" s="33"/>
      <c r="F19" s="32">
        <f>8135436+5674028</f>
        <v>13809464</v>
      </c>
      <c r="G19" s="32">
        <f>165658+587376</f>
        <v>753034</v>
      </c>
      <c r="H19" s="33">
        <v>14562498</v>
      </c>
      <c r="I19" s="33"/>
      <c r="J19" s="32">
        <f>25175+39758</f>
        <v>64933</v>
      </c>
      <c r="K19" s="32">
        <f>7194+5804</f>
        <v>12998</v>
      </c>
      <c r="L19" s="32">
        <f t="shared" ref="L19:L32" si="1">K19+J19</f>
        <v>77931</v>
      </c>
    </row>
    <row r="20" spans="1:12" s="72" customFormat="1" x14ac:dyDescent="0.25">
      <c r="A20" s="36">
        <v>1998</v>
      </c>
      <c r="B20" s="37">
        <f>99260+94237</f>
        <v>193497</v>
      </c>
      <c r="C20" s="37">
        <f>11292+7569</f>
        <v>18861</v>
      </c>
      <c r="D20" s="37">
        <f t="shared" si="0"/>
        <v>212358</v>
      </c>
      <c r="E20" s="39"/>
      <c r="F20" s="37">
        <f>8513813+6501880</f>
        <v>15015693</v>
      </c>
      <c r="G20" s="37">
        <f>161128+569470</f>
        <v>730598</v>
      </c>
      <c r="H20" s="39">
        <f t="shared" ref="H20:H25" si="2">SUM(F20:G20)</f>
        <v>15746291</v>
      </c>
      <c r="I20" s="39"/>
      <c r="J20" s="37">
        <f>26069+39356</f>
        <v>65425</v>
      </c>
      <c r="K20" s="37">
        <f>5732+5856</f>
        <v>11588</v>
      </c>
      <c r="L20" s="37">
        <f t="shared" si="1"/>
        <v>77013</v>
      </c>
    </row>
    <row r="21" spans="1:12" s="72" customFormat="1" x14ac:dyDescent="0.25">
      <c r="A21" s="31">
        <v>1999</v>
      </c>
      <c r="B21" s="32">
        <f>107654+102116</f>
        <v>209770</v>
      </c>
      <c r="C21" s="32">
        <f>10149+8719</f>
        <v>18868</v>
      </c>
      <c r="D21" s="32">
        <f t="shared" si="0"/>
        <v>228638</v>
      </c>
      <c r="E21" s="33"/>
      <c r="F21" s="32">
        <f>8902689+7425962</f>
        <v>16328651</v>
      </c>
      <c r="G21" s="32">
        <f>146267+653750</f>
        <v>800017</v>
      </c>
      <c r="H21" s="33">
        <f t="shared" si="2"/>
        <v>17128668</v>
      </c>
      <c r="I21" s="33"/>
      <c r="J21" s="32">
        <f>27391.7+48859.8</f>
        <v>76251.5</v>
      </c>
      <c r="K21" s="32">
        <f>5528.5+4393.3</f>
        <v>9921.7999999999993</v>
      </c>
      <c r="L21" s="32">
        <f t="shared" si="1"/>
        <v>86173.3</v>
      </c>
    </row>
    <row r="22" spans="1:12" s="72" customFormat="1" x14ac:dyDescent="0.25">
      <c r="A22" s="36">
        <v>2000</v>
      </c>
      <c r="B22" s="37">
        <f>111690+119658</f>
        <v>231348</v>
      </c>
      <c r="C22" s="37">
        <f>9708+11140</f>
        <v>20848</v>
      </c>
      <c r="D22" s="37">
        <f t="shared" si="0"/>
        <v>252196</v>
      </c>
      <c r="E22" s="39"/>
      <c r="F22" s="37">
        <f>9879740+8442039</f>
        <v>18321779</v>
      </c>
      <c r="G22" s="37">
        <f>108466+945093</f>
        <v>1053559</v>
      </c>
      <c r="H22" s="39">
        <f t="shared" si="2"/>
        <v>19375338</v>
      </c>
      <c r="I22" s="39"/>
      <c r="J22" s="37">
        <f>25976.247+47684.888</f>
        <v>73661.134999999995</v>
      </c>
      <c r="K22" s="37">
        <f>6356.765+7290.566</f>
        <v>13647.331</v>
      </c>
      <c r="L22" s="37">
        <f t="shared" si="1"/>
        <v>87308.466</v>
      </c>
    </row>
    <row r="23" spans="1:12" s="72" customFormat="1" x14ac:dyDescent="0.25">
      <c r="A23" s="31">
        <v>2001</v>
      </c>
      <c r="B23" s="32">
        <f>118070+129265</f>
        <v>247335</v>
      </c>
      <c r="C23" s="32">
        <f>10320+10481</f>
        <v>20801</v>
      </c>
      <c r="D23" s="32">
        <f t="shared" si="0"/>
        <v>268136</v>
      </c>
      <c r="E23" s="33"/>
      <c r="F23" s="32">
        <f>9987791+9653402</f>
        <v>19641193</v>
      </c>
      <c r="G23" s="32">
        <f>87745+816742</f>
        <v>904487</v>
      </c>
      <c r="H23" s="33">
        <f t="shared" si="2"/>
        <v>20545680</v>
      </c>
      <c r="I23" s="33"/>
      <c r="J23" s="32">
        <f>20263.145+37789.964</f>
        <v>58053.108999999997</v>
      </c>
      <c r="K23" s="32">
        <f>6323.642+12588.884</f>
        <v>18912.525999999998</v>
      </c>
      <c r="L23" s="32">
        <f t="shared" si="1"/>
        <v>76965.634999999995</v>
      </c>
    </row>
    <row r="24" spans="1:12" s="72" customFormat="1" x14ac:dyDescent="0.25">
      <c r="A24" s="36">
        <v>2002</v>
      </c>
      <c r="B24" s="37">
        <f>111564+132186</f>
        <v>243750</v>
      </c>
      <c r="C24" s="37">
        <f>10236+11477</f>
        <v>21713</v>
      </c>
      <c r="D24" s="37">
        <f t="shared" si="0"/>
        <v>265463</v>
      </c>
      <c r="E24" s="39"/>
      <c r="F24" s="37">
        <f>9830372+10298186</f>
        <v>20128558</v>
      </c>
      <c r="G24" s="37">
        <f>145579+894860</f>
        <v>1040439</v>
      </c>
      <c r="H24" s="39">
        <f t="shared" si="2"/>
        <v>21168997</v>
      </c>
      <c r="I24" s="39"/>
      <c r="J24" s="37">
        <f>21176.572+35399.98</f>
        <v>56576.552000000003</v>
      </c>
      <c r="K24" s="37">
        <f>3608.025+15032.809</f>
        <v>18640.833999999999</v>
      </c>
      <c r="L24" s="37">
        <f t="shared" si="1"/>
        <v>75217.385999999999</v>
      </c>
    </row>
    <row r="25" spans="1:12" s="72" customFormat="1" x14ac:dyDescent="0.25">
      <c r="A25" s="31">
        <v>2003</v>
      </c>
      <c r="B25" s="32">
        <f>115791+138036</f>
        <v>253827</v>
      </c>
      <c r="C25" s="32">
        <f>10618+11769</f>
        <v>22387</v>
      </c>
      <c r="D25" s="32">
        <f t="shared" si="0"/>
        <v>276214</v>
      </c>
      <c r="E25" s="33"/>
      <c r="F25" s="32">
        <f>10425395+11071671</f>
        <v>21497066</v>
      </c>
      <c r="G25" s="32">
        <f>176872+867686</f>
        <v>1044558</v>
      </c>
      <c r="H25" s="33">
        <f t="shared" si="2"/>
        <v>22541624</v>
      </c>
      <c r="I25" s="33"/>
      <c r="J25" s="32">
        <f>19049.563+32121.59</f>
        <v>51171.152999999998</v>
      </c>
      <c r="K25" s="32">
        <f>3320.982+15623.52</f>
        <v>18944.502</v>
      </c>
      <c r="L25" s="32">
        <f t="shared" si="1"/>
        <v>70115.654999999999</v>
      </c>
    </row>
    <row r="26" spans="1:12" s="72" customFormat="1" x14ac:dyDescent="0.25">
      <c r="A26" s="36">
        <v>2004</v>
      </c>
      <c r="B26" s="37">
        <f>123103+141220</f>
        <v>264323</v>
      </c>
      <c r="C26" s="37">
        <f>8303+11617</f>
        <v>19920</v>
      </c>
      <c r="D26" s="37">
        <f t="shared" si="0"/>
        <v>284243</v>
      </c>
      <c r="E26" s="39"/>
      <c r="F26" s="37">
        <f>11275109+11997901</f>
        <v>23273010</v>
      </c>
      <c r="G26" s="37">
        <f>202169+888115</f>
        <v>1090284</v>
      </c>
      <c r="H26" s="39">
        <f t="shared" ref="H26:H32" si="3">SUM(F26:G26)</f>
        <v>24363294</v>
      </c>
      <c r="I26" s="39"/>
      <c r="J26" s="37">
        <f>20429.228+41029.812</f>
        <v>61459.039999999994</v>
      </c>
      <c r="K26" s="37">
        <f>3318.098+17131.278</f>
        <v>20449.375999999997</v>
      </c>
      <c r="L26" s="37">
        <f t="shared" si="1"/>
        <v>81908.415999999997</v>
      </c>
    </row>
    <row r="27" spans="1:12" s="72" customFormat="1" x14ac:dyDescent="0.25">
      <c r="A27" s="31">
        <v>2005</v>
      </c>
      <c r="B27" s="32">
        <f>138078+142729</f>
        <v>280807</v>
      </c>
      <c r="C27" s="32">
        <f>8035+11412</f>
        <v>19447</v>
      </c>
      <c r="D27" s="32">
        <f t="shared" si="0"/>
        <v>300254</v>
      </c>
      <c r="E27" s="33"/>
      <c r="F27" s="32">
        <f>13208734+12674571</f>
        <v>25883305</v>
      </c>
      <c r="G27" s="32">
        <f>158856+899054</f>
        <v>1057910</v>
      </c>
      <c r="H27" s="33">
        <f t="shared" si="3"/>
        <v>26941215</v>
      </c>
      <c r="I27" s="33"/>
      <c r="J27" s="32">
        <f>18770.584+51591.213</f>
        <v>70361.797000000006</v>
      </c>
      <c r="K27" s="32">
        <f>3778.652+16098.966</f>
        <v>19877.618000000002</v>
      </c>
      <c r="L27" s="32">
        <f t="shared" si="1"/>
        <v>90239.415000000008</v>
      </c>
    </row>
    <row r="28" spans="1:12" s="72" customFormat="1" x14ac:dyDescent="0.25">
      <c r="A28" s="36">
        <v>2006</v>
      </c>
      <c r="B28" s="37">
        <f>147421+150306</f>
        <v>297727</v>
      </c>
      <c r="C28" s="37">
        <f>8168+13613</f>
        <v>21781</v>
      </c>
      <c r="D28" s="37">
        <f t="shared" si="0"/>
        <v>319508</v>
      </c>
      <c r="E28" s="39"/>
      <c r="F28" s="37">
        <f>14210257+14460751</f>
        <v>28671008</v>
      </c>
      <c r="G28" s="37">
        <f>159981+1004724</f>
        <v>1164705</v>
      </c>
      <c r="H28" s="39">
        <f t="shared" si="3"/>
        <v>29835713</v>
      </c>
      <c r="I28" s="39"/>
      <c r="J28" s="37">
        <f>15923.383+55932.394</f>
        <v>71855.777000000002</v>
      </c>
      <c r="K28" s="37">
        <f>4256.691+17143.489</f>
        <v>21400.18</v>
      </c>
      <c r="L28" s="37">
        <f t="shared" si="1"/>
        <v>93255.956999999995</v>
      </c>
    </row>
    <row r="29" spans="1:12" s="72" customFormat="1" x14ac:dyDescent="0.25">
      <c r="A29" s="31">
        <v>2007</v>
      </c>
      <c r="B29" s="32">
        <v>323483</v>
      </c>
      <c r="C29" s="32">
        <v>20029</v>
      </c>
      <c r="D29" s="32">
        <f t="shared" si="0"/>
        <v>343512</v>
      </c>
      <c r="E29" s="33"/>
      <c r="F29" s="32">
        <v>31776207</v>
      </c>
      <c r="G29" s="32">
        <v>1027656</v>
      </c>
      <c r="H29" s="33">
        <f t="shared" si="3"/>
        <v>32803863</v>
      </c>
      <c r="I29" s="33"/>
      <c r="J29" s="32">
        <v>77120.672000000006</v>
      </c>
      <c r="K29" s="32">
        <v>19523.984</v>
      </c>
      <c r="L29" s="32">
        <f t="shared" si="1"/>
        <v>96644.656000000003</v>
      </c>
    </row>
    <row r="30" spans="1:12" s="72" customFormat="1" x14ac:dyDescent="0.25">
      <c r="A30" s="36">
        <v>2008</v>
      </c>
      <c r="B30" s="37">
        <v>296581</v>
      </c>
      <c r="C30" s="37">
        <v>17854</v>
      </c>
      <c r="D30" s="37">
        <f t="shared" si="0"/>
        <v>314435</v>
      </c>
      <c r="E30" s="39"/>
      <c r="F30" s="37">
        <v>29260854</v>
      </c>
      <c r="G30" s="37">
        <v>908809</v>
      </c>
      <c r="H30" s="39">
        <f t="shared" si="3"/>
        <v>30169663</v>
      </c>
      <c r="I30" s="39"/>
      <c r="J30" s="37">
        <v>85284</v>
      </c>
      <c r="K30" s="37">
        <v>18840</v>
      </c>
      <c r="L30" s="37">
        <f t="shared" si="1"/>
        <v>104124</v>
      </c>
    </row>
    <row r="31" spans="1:12" s="72" customFormat="1" x14ac:dyDescent="0.25">
      <c r="A31" s="31">
        <v>2009</v>
      </c>
      <c r="B31" s="32">
        <v>258678</v>
      </c>
      <c r="C31" s="32">
        <v>14223</v>
      </c>
      <c r="D31" s="32">
        <f t="shared" si="0"/>
        <v>272901</v>
      </c>
      <c r="E31" s="33"/>
      <c r="F31" s="32">
        <v>26675935</v>
      </c>
      <c r="G31" s="32">
        <v>728412</v>
      </c>
      <c r="H31" s="33">
        <f t="shared" si="3"/>
        <v>27404347</v>
      </c>
      <c r="I31" s="33"/>
      <c r="J31" s="32">
        <v>74594</v>
      </c>
      <c r="K31" s="32">
        <v>15066</v>
      </c>
      <c r="L31" s="32">
        <f t="shared" si="1"/>
        <v>89660</v>
      </c>
    </row>
    <row r="32" spans="1:12" s="72" customFormat="1" x14ac:dyDescent="0.25">
      <c r="A32" s="36">
        <v>2010</v>
      </c>
      <c r="B32" s="37">
        <v>256058</v>
      </c>
      <c r="C32" s="37">
        <v>21774</v>
      </c>
      <c r="D32" s="37">
        <f t="shared" si="0"/>
        <v>277832</v>
      </c>
      <c r="E32" s="39"/>
      <c r="F32" s="37">
        <v>28235251</v>
      </c>
      <c r="G32" s="37">
        <v>974344</v>
      </c>
      <c r="H32" s="39">
        <f t="shared" si="3"/>
        <v>29209595</v>
      </c>
      <c r="I32" s="39"/>
      <c r="J32" s="37">
        <v>84504</v>
      </c>
      <c r="K32" s="37">
        <v>19775</v>
      </c>
      <c r="L32" s="37">
        <f t="shared" si="1"/>
        <v>104279</v>
      </c>
    </row>
    <row r="33" spans="1:12" s="72" customFormat="1" x14ac:dyDescent="0.25">
      <c r="A33" s="31">
        <v>2011</v>
      </c>
      <c r="B33" s="32">
        <v>281878</v>
      </c>
      <c r="C33" s="32">
        <f t="shared" ref="C33:C40" si="4">D33-B33</f>
        <v>21176</v>
      </c>
      <c r="D33" s="43">
        <v>303054</v>
      </c>
      <c r="E33" s="33"/>
      <c r="F33" s="32">
        <v>33349973</v>
      </c>
      <c r="G33" s="32">
        <f t="shared" ref="G33:G41" si="5">H33-F33</f>
        <v>1048253</v>
      </c>
      <c r="H33" s="45">
        <v>34398226</v>
      </c>
      <c r="I33" s="33"/>
      <c r="J33" s="32">
        <v>85575.502999999997</v>
      </c>
      <c r="K33" s="32">
        <f t="shared" ref="K33:K41" si="6">L33-J33</f>
        <v>15449.497000000003</v>
      </c>
      <c r="L33" s="43">
        <v>101025</v>
      </c>
    </row>
    <row r="34" spans="1:12" s="72" customFormat="1" x14ac:dyDescent="0.25">
      <c r="A34" s="36">
        <v>2012</v>
      </c>
      <c r="B34" s="37">
        <v>270515</v>
      </c>
      <c r="C34" s="37">
        <f t="shared" si="4"/>
        <v>19489</v>
      </c>
      <c r="D34" s="37">
        <v>290004</v>
      </c>
      <c r="E34" s="39"/>
      <c r="F34" s="37">
        <v>34067610</v>
      </c>
      <c r="G34" s="37">
        <f t="shared" si="5"/>
        <v>1077566</v>
      </c>
      <c r="H34" s="39">
        <v>35145176</v>
      </c>
      <c r="I34" s="39"/>
      <c r="J34" s="37">
        <v>84962.297999999995</v>
      </c>
      <c r="K34" s="37">
        <f t="shared" si="6"/>
        <v>15384.702000000005</v>
      </c>
      <c r="L34" s="37">
        <v>100347</v>
      </c>
    </row>
    <row r="35" spans="1:12" s="72" customFormat="1" x14ac:dyDescent="0.25">
      <c r="A35" s="31">
        <v>2013</v>
      </c>
      <c r="B35" s="32">
        <v>255806</v>
      </c>
      <c r="C35" s="32">
        <f t="shared" si="4"/>
        <v>20690</v>
      </c>
      <c r="D35" s="43">
        <v>276496</v>
      </c>
      <c r="E35" s="33"/>
      <c r="F35" s="32">
        <v>34054299</v>
      </c>
      <c r="G35" s="32">
        <f t="shared" si="5"/>
        <v>1156436</v>
      </c>
      <c r="H35" s="45">
        <v>35210735</v>
      </c>
      <c r="I35" s="33"/>
      <c r="J35" s="32">
        <v>86494.91</v>
      </c>
      <c r="K35" s="32">
        <f t="shared" si="6"/>
        <v>13931.870999999999</v>
      </c>
      <c r="L35" s="43">
        <v>100426.781</v>
      </c>
    </row>
    <row r="36" spans="1:12" s="72" customFormat="1" x14ac:dyDescent="0.25">
      <c r="A36" s="36">
        <v>2014</v>
      </c>
      <c r="B36" s="37">
        <v>263502</v>
      </c>
      <c r="C36" s="37">
        <f t="shared" si="4"/>
        <v>20348</v>
      </c>
      <c r="D36" s="37">
        <v>283850</v>
      </c>
      <c r="E36" s="39"/>
      <c r="F36" s="37">
        <v>36515680</v>
      </c>
      <c r="G36" s="37">
        <f t="shared" si="5"/>
        <v>1043364</v>
      </c>
      <c r="H36" s="39">
        <v>37559044</v>
      </c>
      <c r="I36" s="39"/>
      <c r="J36" s="37">
        <v>87220.148000000001</v>
      </c>
      <c r="K36" s="37">
        <f t="shared" si="6"/>
        <v>15496.606</v>
      </c>
      <c r="L36" s="37">
        <v>102716.754</v>
      </c>
    </row>
    <row r="37" spans="1:12" s="72" customFormat="1" x14ac:dyDescent="0.25">
      <c r="A37" s="31">
        <v>2015</v>
      </c>
      <c r="B37" s="32">
        <v>271078</v>
      </c>
      <c r="C37" s="32">
        <f t="shared" si="4"/>
        <v>17801</v>
      </c>
      <c r="D37" s="43">
        <v>288879</v>
      </c>
      <c r="E37" s="33"/>
      <c r="F37" s="32">
        <v>39092714</v>
      </c>
      <c r="G37" s="32">
        <f t="shared" si="5"/>
        <v>618523</v>
      </c>
      <c r="H37" s="45">
        <v>39711237</v>
      </c>
      <c r="I37" s="33"/>
      <c r="J37" s="32">
        <v>99385.725000000006</v>
      </c>
      <c r="K37" s="32">
        <f t="shared" si="6"/>
        <v>17833.656999999992</v>
      </c>
      <c r="L37" s="43">
        <v>117219.382</v>
      </c>
    </row>
    <row r="38" spans="1:12" s="72" customFormat="1" x14ac:dyDescent="0.25">
      <c r="A38" s="36">
        <v>2016</v>
      </c>
      <c r="B38" s="37">
        <v>288975</v>
      </c>
      <c r="C38" s="37">
        <f t="shared" si="4"/>
        <v>18889</v>
      </c>
      <c r="D38" s="37">
        <v>307864</v>
      </c>
      <c r="E38" s="39"/>
      <c r="F38" s="37">
        <v>43562525</v>
      </c>
      <c r="G38" s="37">
        <f t="shared" si="5"/>
        <v>592168</v>
      </c>
      <c r="H38" s="39">
        <v>44154693</v>
      </c>
      <c r="I38" s="39"/>
      <c r="J38" s="37">
        <v>115226.11500000001</v>
      </c>
      <c r="K38" s="37">
        <f t="shared" si="6"/>
        <v>17531.105999999985</v>
      </c>
      <c r="L38" s="37">
        <v>132757.22099999999</v>
      </c>
    </row>
    <row r="39" spans="1:12" s="72" customFormat="1" x14ac:dyDescent="0.25">
      <c r="A39" s="42">
        <v>2017</v>
      </c>
      <c r="B39" s="43">
        <v>304427</v>
      </c>
      <c r="C39" s="43">
        <f t="shared" si="4"/>
        <v>19112</v>
      </c>
      <c r="D39" s="43">
        <v>323539</v>
      </c>
      <c r="E39" s="45"/>
      <c r="F39" s="43">
        <v>46678078</v>
      </c>
      <c r="G39" s="43">
        <f t="shared" si="5"/>
        <v>606422</v>
      </c>
      <c r="H39" s="45">
        <v>47284500</v>
      </c>
      <c r="I39" s="45"/>
      <c r="J39" s="43">
        <v>137587.35699999999</v>
      </c>
      <c r="K39" s="43">
        <f t="shared" si="6"/>
        <v>18517.947000000015</v>
      </c>
      <c r="L39" s="43">
        <v>156105.304</v>
      </c>
    </row>
    <row r="40" spans="1:12" s="72" customFormat="1" x14ac:dyDescent="0.25">
      <c r="A40" s="36">
        <v>2018</v>
      </c>
      <c r="B40" s="37">
        <v>316105</v>
      </c>
      <c r="C40" s="37">
        <f t="shared" si="4"/>
        <v>19546</v>
      </c>
      <c r="D40" s="37">
        <v>335651</v>
      </c>
      <c r="E40" s="39"/>
      <c r="F40" s="37">
        <v>49561810</v>
      </c>
      <c r="G40" s="37">
        <f t="shared" si="5"/>
        <v>610647</v>
      </c>
      <c r="H40" s="39">
        <v>50172457</v>
      </c>
      <c r="I40" s="39"/>
      <c r="J40" s="37">
        <v>151957.535</v>
      </c>
      <c r="K40" s="37">
        <f t="shared" si="6"/>
        <v>20982.462999999989</v>
      </c>
      <c r="L40" s="37">
        <v>172939.99799999999</v>
      </c>
    </row>
    <row r="41" spans="1:12" s="72" customFormat="1" x14ac:dyDescent="0.25">
      <c r="A41" s="47">
        <v>2019</v>
      </c>
      <c r="B41" s="48">
        <v>327057</v>
      </c>
      <c r="C41" s="48">
        <f>D41-B41</f>
        <v>17506</v>
      </c>
      <c r="D41" s="48">
        <v>344563</v>
      </c>
      <c r="E41" s="49"/>
      <c r="F41" s="48">
        <v>52126049</v>
      </c>
      <c r="G41" s="48">
        <f t="shared" si="5"/>
        <v>562406</v>
      </c>
      <c r="H41" s="49">
        <v>52688455</v>
      </c>
      <c r="I41" s="49"/>
      <c r="J41" s="48">
        <v>170077</v>
      </c>
      <c r="K41" s="48">
        <f t="shared" si="6"/>
        <v>6732</v>
      </c>
      <c r="L41" s="48">
        <v>176809</v>
      </c>
    </row>
    <row r="42" spans="1:12" s="72" customFormat="1" x14ac:dyDescent="0.25">
      <c r="A42" s="87"/>
      <c r="B42" s="82"/>
      <c r="C42" s="82"/>
      <c r="D42" s="70"/>
      <c r="E42" s="26"/>
      <c r="F42" s="82"/>
      <c r="G42" s="82"/>
      <c r="H42" s="82"/>
      <c r="I42" s="26"/>
      <c r="J42" s="26"/>
      <c r="K42" s="26"/>
      <c r="L42" s="88"/>
    </row>
    <row r="43" spans="1:12" x14ac:dyDescent="0.25">
      <c r="A43" s="62"/>
      <c r="B43" s="83"/>
      <c r="C43" s="83"/>
      <c r="D43" s="11"/>
      <c r="E43" s="12"/>
      <c r="F43" s="83"/>
      <c r="G43" s="83"/>
      <c r="H43" s="83"/>
      <c r="I43" s="12"/>
      <c r="J43" s="12"/>
      <c r="K43" s="12"/>
      <c r="L43" s="12"/>
    </row>
    <row r="44" spans="1:12" x14ac:dyDescent="0.25">
      <c r="A44" s="57"/>
      <c r="B44" s="64"/>
      <c r="C44" s="64"/>
      <c r="D44" s="64"/>
      <c r="E44" s="53"/>
      <c r="F44" s="64"/>
      <c r="G44" s="64"/>
      <c r="H44" s="64"/>
      <c r="I44" s="53"/>
      <c r="J44" s="64"/>
      <c r="K44" s="64"/>
      <c r="L44" s="64"/>
    </row>
    <row r="45" spans="1:12" x14ac:dyDescent="0.25">
      <c r="A45" s="57"/>
      <c r="B45" s="64"/>
      <c r="C45" s="64"/>
      <c r="D45" s="64"/>
      <c r="E45" s="53"/>
      <c r="F45" s="64"/>
      <c r="G45" s="64"/>
      <c r="H45" s="64"/>
      <c r="I45" s="53"/>
      <c r="J45" s="64"/>
      <c r="K45" s="64"/>
      <c r="L45" s="89"/>
    </row>
    <row r="46" spans="1:12" ht="16.5" customHeight="1" x14ac:dyDescent="0.25">
      <c r="A46" s="74"/>
      <c r="B46" s="75" t="s">
        <v>34</v>
      </c>
      <c r="C46" s="75"/>
      <c r="D46" s="75"/>
      <c r="E46" s="76"/>
      <c r="F46" s="75" t="s">
        <v>61</v>
      </c>
      <c r="G46" s="75"/>
      <c r="H46" s="75"/>
      <c r="I46" s="76"/>
      <c r="J46" s="75" t="s">
        <v>55</v>
      </c>
      <c r="K46" s="75"/>
      <c r="L46" s="75"/>
    </row>
    <row r="47" spans="1:12" s="72" customFormat="1" ht="18" customHeight="1" x14ac:dyDescent="0.25">
      <c r="A47" s="86"/>
      <c r="B47" s="23" t="s">
        <v>62</v>
      </c>
      <c r="C47" s="23" t="s">
        <v>63</v>
      </c>
      <c r="D47" s="23" t="s">
        <v>35</v>
      </c>
      <c r="E47" s="25"/>
      <c r="F47" s="23" t="s">
        <v>62</v>
      </c>
      <c r="G47" s="23" t="s">
        <v>63</v>
      </c>
      <c r="H47" s="23" t="s">
        <v>35</v>
      </c>
      <c r="I47" s="25"/>
      <c r="J47" s="23" t="s">
        <v>62</v>
      </c>
      <c r="K47" s="23" t="s">
        <v>63</v>
      </c>
      <c r="L47" s="23" t="s">
        <v>35</v>
      </c>
    </row>
    <row r="48" spans="1:12" s="72" customFormat="1" x14ac:dyDescent="0.25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  <row r="49" spans="1:12" s="72" customFormat="1" hidden="1" x14ac:dyDescent="0.25">
      <c r="A49" s="41">
        <v>1986</v>
      </c>
      <c r="B49" s="32">
        <v>47252</v>
      </c>
      <c r="C49" s="32">
        <v>27254</v>
      </c>
      <c r="D49" s="33">
        <f t="shared" ref="D49:D71" si="7">B49+C49</f>
        <v>74506</v>
      </c>
      <c r="E49" s="90"/>
      <c r="F49" s="32">
        <v>3876</v>
      </c>
      <c r="G49" s="32">
        <v>2221</v>
      </c>
      <c r="H49" s="33">
        <f>F49+G49</f>
        <v>6097</v>
      </c>
      <c r="I49" s="32"/>
      <c r="J49" s="32">
        <v>28132</v>
      </c>
      <c r="K49" s="91">
        <v>18922</v>
      </c>
      <c r="L49" s="33">
        <f t="shared" ref="L49:L73" si="8">J49+K49</f>
        <v>47054</v>
      </c>
    </row>
    <row r="50" spans="1:12" s="72" customFormat="1" x14ac:dyDescent="0.25">
      <c r="A50" s="41">
        <v>1987</v>
      </c>
      <c r="B50" s="32">
        <v>50893</v>
      </c>
      <c r="C50" s="32">
        <v>26123</v>
      </c>
      <c r="D50" s="33">
        <f t="shared" si="7"/>
        <v>77016</v>
      </c>
      <c r="E50" s="90"/>
      <c r="F50" s="32">
        <v>4335</v>
      </c>
      <c r="G50" s="32">
        <v>2326</v>
      </c>
      <c r="H50" s="32">
        <f>SUM(F50:G50)</f>
        <v>6661</v>
      </c>
      <c r="I50" s="32"/>
      <c r="J50" s="32">
        <v>24459</v>
      </c>
      <c r="K50" s="91">
        <v>20595</v>
      </c>
      <c r="L50" s="33">
        <f t="shared" si="8"/>
        <v>45054</v>
      </c>
    </row>
    <row r="51" spans="1:12" s="72" customFormat="1" x14ac:dyDescent="0.25">
      <c r="A51" s="92">
        <v>1988</v>
      </c>
      <c r="B51" s="37">
        <v>61427</v>
      </c>
      <c r="C51" s="37">
        <v>34836</v>
      </c>
      <c r="D51" s="39">
        <f t="shared" si="7"/>
        <v>96263</v>
      </c>
      <c r="E51" s="93"/>
      <c r="F51" s="37">
        <v>4752</v>
      </c>
      <c r="G51" s="37">
        <v>2482</v>
      </c>
      <c r="H51" s="37">
        <f t="shared" ref="H51:H73" si="9">SUM(F51:G51)</f>
        <v>7234</v>
      </c>
      <c r="I51" s="37"/>
      <c r="J51" s="37">
        <v>30575</v>
      </c>
      <c r="K51" s="94">
        <v>25067</v>
      </c>
      <c r="L51" s="39">
        <f t="shared" si="8"/>
        <v>55642</v>
      </c>
    </row>
    <row r="52" spans="1:12" s="72" customFormat="1" x14ac:dyDescent="0.25">
      <c r="A52" s="41">
        <v>1989</v>
      </c>
      <c r="B52" s="32">
        <v>61271</v>
      </c>
      <c r="C52" s="32">
        <v>44858</v>
      </c>
      <c r="D52" s="33">
        <f t="shared" si="7"/>
        <v>106129</v>
      </c>
      <c r="E52" s="90"/>
      <c r="F52" s="32">
        <v>5144</v>
      </c>
      <c r="G52" s="32">
        <v>3002</v>
      </c>
      <c r="H52" s="32">
        <f t="shared" si="9"/>
        <v>8146</v>
      </c>
      <c r="I52" s="32"/>
      <c r="J52" s="32">
        <v>33687</v>
      </c>
      <c r="K52" s="91">
        <v>27634</v>
      </c>
      <c r="L52" s="33">
        <f t="shared" si="8"/>
        <v>61321</v>
      </c>
    </row>
    <row r="53" spans="1:12" s="72" customFormat="1" x14ac:dyDescent="0.25">
      <c r="A53" s="92">
        <v>1990</v>
      </c>
      <c r="B53" s="37">
        <v>59955</v>
      </c>
      <c r="C53" s="37">
        <v>57776</v>
      </c>
      <c r="D53" s="39">
        <f t="shared" si="7"/>
        <v>117731</v>
      </c>
      <c r="E53" s="93"/>
      <c r="F53" s="37">
        <v>5654</v>
      </c>
      <c r="G53" s="37">
        <v>3388</v>
      </c>
      <c r="H53" s="37">
        <f t="shared" si="9"/>
        <v>9042</v>
      </c>
      <c r="I53" s="37"/>
      <c r="J53" s="37">
        <v>34942</v>
      </c>
      <c r="K53" s="94">
        <v>31557</v>
      </c>
      <c r="L53" s="39">
        <f t="shared" si="8"/>
        <v>66499</v>
      </c>
    </row>
    <row r="54" spans="1:12" s="72" customFormat="1" x14ac:dyDescent="0.25">
      <c r="A54" s="41">
        <v>1991</v>
      </c>
      <c r="B54" s="32">
        <v>63807</v>
      </c>
      <c r="C54" s="32">
        <v>59242</v>
      </c>
      <c r="D54" s="33">
        <f t="shared" si="7"/>
        <v>123049</v>
      </c>
      <c r="E54" s="90"/>
      <c r="F54" s="32">
        <v>5707</v>
      </c>
      <c r="G54" s="32">
        <v>3254</v>
      </c>
      <c r="H54" s="32">
        <f t="shared" si="9"/>
        <v>8961</v>
      </c>
      <c r="I54" s="32"/>
      <c r="J54" s="32">
        <v>30306</v>
      </c>
      <c r="K54" s="91">
        <v>32357</v>
      </c>
      <c r="L54" s="33">
        <f t="shared" si="8"/>
        <v>62663</v>
      </c>
    </row>
    <row r="55" spans="1:12" s="72" customFormat="1" x14ac:dyDescent="0.25">
      <c r="A55" s="92">
        <v>1992</v>
      </c>
      <c r="B55" s="37">
        <v>68053</v>
      </c>
      <c r="C55" s="37">
        <v>68028</v>
      </c>
      <c r="D55" s="39">
        <f t="shared" si="7"/>
        <v>136081</v>
      </c>
      <c r="E55" s="93"/>
      <c r="F55" s="37">
        <v>6123</v>
      </c>
      <c r="G55" s="37">
        <v>3916</v>
      </c>
      <c r="H55" s="37">
        <f t="shared" si="9"/>
        <v>10039</v>
      </c>
      <c r="I55" s="37"/>
      <c r="J55" s="37">
        <v>34157</v>
      </c>
      <c r="K55" s="94">
        <v>37263</v>
      </c>
      <c r="L55" s="39">
        <f t="shared" si="8"/>
        <v>71420</v>
      </c>
    </row>
    <row r="56" spans="1:12" s="72" customFormat="1" x14ac:dyDescent="0.25">
      <c r="A56" s="41">
        <v>1993</v>
      </c>
      <c r="B56" s="32">
        <v>65144</v>
      </c>
      <c r="C56" s="32">
        <v>68398</v>
      </c>
      <c r="D56" s="33">
        <f t="shared" si="7"/>
        <v>133542</v>
      </c>
      <c r="E56" s="90"/>
      <c r="F56" s="32">
        <v>5706</v>
      </c>
      <c r="G56" s="32">
        <v>3949</v>
      </c>
      <c r="H56" s="32">
        <f t="shared" si="9"/>
        <v>9655</v>
      </c>
      <c r="I56" s="32"/>
      <c r="J56" s="32">
        <v>29637</v>
      </c>
      <c r="K56" s="91">
        <v>27841</v>
      </c>
      <c r="L56" s="33">
        <f t="shared" si="8"/>
        <v>57478</v>
      </c>
    </row>
    <row r="57" spans="1:12" s="72" customFormat="1" x14ac:dyDescent="0.25">
      <c r="A57" s="92">
        <v>1994</v>
      </c>
      <c r="B57" s="39">
        <v>73591</v>
      </c>
      <c r="C57" s="39">
        <v>68467</v>
      </c>
      <c r="D57" s="39">
        <f t="shared" si="7"/>
        <v>142058</v>
      </c>
      <c r="E57" s="93"/>
      <c r="F57" s="39">
        <v>6094</v>
      </c>
      <c r="G57" s="39">
        <v>4202</v>
      </c>
      <c r="H57" s="37">
        <f t="shared" si="9"/>
        <v>10296</v>
      </c>
      <c r="I57" s="39"/>
      <c r="J57" s="39">
        <v>27833</v>
      </c>
      <c r="K57" s="95">
        <v>31051</v>
      </c>
      <c r="L57" s="39">
        <f t="shared" si="8"/>
        <v>58884</v>
      </c>
    </row>
    <row r="58" spans="1:12" s="72" customFormat="1" x14ac:dyDescent="0.25">
      <c r="A58" s="41">
        <v>1995</v>
      </c>
      <c r="B58" s="33">
        <v>79904</v>
      </c>
      <c r="C58" s="33">
        <v>72116</v>
      </c>
      <c r="D58" s="33">
        <f t="shared" si="7"/>
        <v>152020</v>
      </c>
      <c r="E58" s="90"/>
      <c r="F58" s="33">
        <v>6740</v>
      </c>
      <c r="G58" s="33">
        <v>4573</v>
      </c>
      <c r="H58" s="32">
        <f t="shared" si="9"/>
        <v>11313</v>
      </c>
      <c r="I58" s="33"/>
      <c r="J58" s="33">
        <v>31101</v>
      </c>
      <c r="K58" s="96">
        <v>37418</v>
      </c>
      <c r="L58" s="33">
        <f t="shared" si="8"/>
        <v>68519</v>
      </c>
    </row>
    <row r="59" spans="1:12" s="72" customFormat="1" x14ac:dyDescent="0.25">
      <c r="A59" s="92">
        <v>1996</v>
      </c>
      <c r="B59" s="39">
        <v>91495</v>
      </c>
      <c r="C59" s="39">
        <v>85263</v>
      </c>
      <c r="D59" s="39">
        <f t="shared" si="7"/>
        <v>176758</v>
      </c>
      <c r="E59" s="93"/>
      <c r="F59" s="39">
        <v>7563</v>
      </c>
      <c r="G59" s="39">
        <v>5356</v>
      </c>
      <c r="H59" s="37">
        <f t="shared" si="9"/>
        <v>12919</v>
      </c>
      <c r="I59" s="39"/>
      <c r="J59" s="39">
        <v>32121</v>
      </c>
      <c r="K59" s="95">
        <v>44527</v>
      </c>
      <c r="L59" s="39">
        <f t="shared" si="8"/>
        <v>76648</v>
      </c>
    </row>
    <row r="60" spans="1:12" s="72" customFormat="1" x14ac:dyDescent="0.25">
      <c r="A60" s="41">
        <v>1997</v>
      </c>
      <c r="B60" s="97">
        <v>111442</v>
      </c>
      <c r="C60" s="97">
        <v>95487</v>
      </c>
      <c r="D60" s="33">
        <f t="shared" si="7"/>
        <v>206929</v>
      </c>
      <c r="E60" s="90"/>
      <c r="F60" s="97">
        <f>8301094/1000</f>
        <v>8301.0939999999991</v>
      </c>
      <c r="G60" s="97">
        <f>6261404/1000</f>
        <v>6261.4040000000005</v>
      </c>
      <c r="H60" s="32">
        <f t="shared" si="9"/>
        <v>14562.498</v>
      </c>
      <c r="I60" s="97"/>
      <c r="J60" s="97">
        <v>32369</v>
      </c>
      <c r="K60" s="98">
        <v>45562</v>
      </c>
      <c r="L60" s="33">
        <f t="shared" si="8"/>
        <v>77931</v>
      </c>
    </row>
    <row r="61" spans="1:12" s="72" customFormat="1" x14ac:dyDescent="0.25">
      <c r="A61" s="92">
        <v>1998</v>
      </c>
      <c r="B61" s="99">
        <v>110552</v>
      </c>
      <c r="C61" s="99">
        <v>101806</v>
      </c>
      <c r="D61" s="39">
        <f t="shared" si="7"/>
        <v>212358</v>
      </c>
      <c r="E61" s="93"/>
      <c r="F61" s="99">
        <v>8674</v>
      </c>
      <c r="G61" s="39">
        <v>7071</v>
      </c>
      <c r="H61" s="37">
        <f t="shared" si="9"/>
        <v>15745</v>
      </c>
      <c r="I61" s="99"/>
      <c r="J61" s="99">
        <v>31802</v>
      </c>
      <c r="K61" s="100">
        <v>45212</v>
      </c>
      <c r="L61" s="39">
        <f t="shared" si="8"/>
        <v>77014</v>
      </c>
    </row>
    <row r="62" spans="1:12" s="72" customFormat="1" x14ac:dyDescent="0.25">
      <c r="A62" s="41">
        <v>1999</v>
      </c>
      <c r="B62" s="97">
        <v>117803</v>
      </c>
      <c r="C62" s="97">
        <v>110835</v>
      </c>
      <c r="D62" s="33">
        <f t="shared" si="7"/>
        <v>228638</v>
      </c>
      <c r="E62" s="90"/>
      <c r="F62" s="97">
        <v>9049</v>
      </c>
      <c r="G62" s="33">
        <v>8079.7</v>
      </c>
      <c r="H62" s="32">
        <f t="shared" si="9"/>
        <v>17128.7</v>
      </c>
      <c r="I62" s="97"/>
      <c r="J62" s="97">
        <f>32920.2</f>
        <v>32920.199999999997</v>
      </c>
      <c r="K62" s="98">
        <v>53253.1</v>
      </c>
      <c r="L62" s="33">
        <f t="shared" si="8"/>
        <v>86173.299999999988</v>
      </c>
    </row>
    <row r="63" spans="1:12" s="72" customFormat="1" x14ac:dyDescent="0.25">
      <c r="A63" s="92">
        <v>2000</v>
      </c>
      <c r="B63" s="99">
        <v>121398</v>
      </c>
      <c r="C63" s="99">
        <v>130798</v>
      </c>
      <c r="D63" s="39">
        <f t="shared" si="7"/>
        <v>252196</v>
      </c>
      <c r="E63" s="93"/>
      <c r="F63" s="99">
        <v>9988.2060000000001</v>
      </c>
      <c r="G63" s="39">
        <v>9387.1319999999996</v>
      </c>
      <c r="H63" s="37">
        <f t="shared" si="9"/>
        <v>19375.338</v>
      </c>
      <c r="I63" s="99"/>
      <c r="J63" s="99">
        <v>32333.011999999999</v>
      </c>
      <c r="K63" s="100">
        <v>54975.453999999998</v>
      </c>
      <c r="L63" s="39">
        <f t="shared" si="8"/>
        <v>87308.466</v>
      </c>
    </row>
    <row r="64" spans="1:12" s="72" customFormat="1" x14ac:dyDescent="0.25">
      <c r="A64" s="41">
        <v>2001</v>
      </c>
      <c r="B64" s="97">
        <v>128390</v>
      </c>
      <c r="C64" s="97">
        <v>139746</v>
      </c>
      <c r="D64" s="33">
        <f t="shared" si="7"/>
        <v>268136</v>
      </c>
      <c r="E64" s="90"/>
      <c r="F64" s="97">
        <v>10075.536</v>
      </c>
      <c r="G64" s="33">
        <v>10470.144</v>
      </c>
      <c r="H64" s="32">
        <f t="shared" si="9"/>
        <v>20545.68</v>
      </c>
      <c r="I64" s="97"/>
      <c r="J64" s="97">
        <v>26586.787</v>
      </c>
      <c r="K64" s="98">
        <v>50378.847999999998</v>
      </c>
      <c r="L64" s="33">
        <f t="shared" si="8"/>
        <v>76965.634999999995</v>
      </c>
    </row>
    <row r="65" spans="1:12" s="72" customFormat="1" x14ac:dyDescent="0.25">
      <c r="A65" s="92">
        <v>2002</v>
      </c>
      <c r="B65" s="99">
        <v>121800</v>
      </c>
      <c r="C65" s="99">
        <v>143663</v>
      </c>
      <c r="D65" s="39">
        <f t="shared" si="7"/>
        <v>265463</v>
      </c>
      <c r="E65" s="93"/>
      <c r="F65" s="99">
        <v>9975.9509999999991</v>
      </c>
      <c r="G65" s="39">
        <v>11193.046</v>
      </c>
      <c r="H65" s="37">
        <f t="shared" si="9"/>
        <v>21168.996999999999</v>
      </c>
      <c r="I65" s="99"/>
      <c r="J65" s="99">
        <v>24784.597000000002</v>
      </c>
      <c r="K65" s="100">
        <v>50432.788999999997</v>
      </c>
      <c r="L65" s="39">
        <f t="shared" si="8"/>
        <v>75217.385999999999</v>
      </c>
    </row>
    <row r="66" spans="1:12" s="72" customFormat="1" x14ac:dyDescent="0.25">
      <c r="A66" s="41">
        <v>2003</v>
      </c>
      <c r="B66" s="97">
        <v>126409</v>
      </c>
      <c r="C66" s="97">
        <v>149805</v>
      </c>
      <c r="D66" s="33">
        <f t="shared" si="7"/>
        <v>276214</v>
      </c>
      <c r="E66" s="90"/>
      <c r="F66" s="97">
        <v>10602.267</v>
      </c>
      <c r="G66" s="33">
        <v>11939.357</v>
      </c>
      <c r="H66" s="32">
        <f t="shared" si="9"/>
        <v>22541.624</v>
      </c>
      <c r="I66" s="97"/>
      <c r="J66" s="97">
        <v>22370.544999999998</v>
      </c>
      <c r="K66" s="98">
        <v>47745.11</v>
      </c>
      <c r="L66" s="33">
        <f t="shared" si="8"/>
        <v>70115.654999999999</v>
      </c>
    </row>
    <row r="67" spans="1:12" s="72" customFormat="1" x14ac:dyDescent="0.25">
      <c r="A67" s="92">
        <v>2004</v>
      </c>
      <c r="B67" s="99">
        <v>131406</v>
      </c>
      <c r="C67" s="99">
        <v>152837</v>
      </c>
      <c r="D67" s="39">
        <f t="shared" si="7"/>
        <v>284243</v>
      </c>
      <c r="E67" s="93"/>
      <c r="F67" s="99">
        <v>11477.278</v>
      </c>
      <c r="G67" s="39">
        <v>12886.016</v>
      </c>
      <c r="H67" s="37">
        <f t="shared" si="9"/>
        <v>24363.294000000002</v>
      </c>
      <c r="I67" s="99"/>
      <c r="J67" s="99">
        <v>23747.326000000001</v>
      </c>
      <c r="K67" s="100">
        <v>58161.09</v>
      </c>
      <c r="L67" s="39">
        <f t="shared" si="8"/>
        <v>81908.415999999997</v>
      </c>
    </row>
    <row r="68" spans="1:12" s="72" customFormat="1" x14ac:dyDescent="0.25">
      <c r="A68" s="41">
        <v>2005</v>
      </c>
      <c r="B68" s="97">
        <v>146113</v>
      </c>
      <c r="C68" s="97">
        <v>154141</v>
      </c>
      <c r="D68" s="33">
        <f t="shared" si="7"/>
        <v>300254</v>
      </c>
      <c r="E68" s="90"/>
      <c r="F68" s="97">
        <v>13367.59</v>
      </c>
      <c r="G68" s="33">
        <v>13573.625</v>
      </c>
      <c r="H68" s="32">
        <f t="shared" si="9"/>
        <v>26941.215</v>
      </c>
      <c r="I68" s="97"/>
      <c r="J68" s="97">
        <v>22549.236000000001</v>
      </c>
      <c r="K68" s="98">
        <v>67690.179000000004</v>
      </c>
      <c r="L68" s="33">
        <f t="shared" si="8"/>
        <v>90239.415000000008</v>
      </c>
    </row>
    <row r="69" spans="1:12" s="72" customFormat="1" x14ac:dyDescent="0.25">
      <c r="A69" s="92">
        <v>2006</v>
      </c>
      <c r="B69" s="99">
        <v>155589</v>
      </c>
      <c r="C69" s="99">
        <v>163919</v>
      </c>
      <c r="D69" s="39">
        <f t="shared" si="7"/>
        <v>319508</v>
      </c>
      <c r="E69" s="93"/>
      <c r="F69" s="99">
        <v>14370.237999999999</v>
      </c>
      <c r="G69" s="39">
        <v>15465.475</v>
      </c>
      <c r="H69" s="37">
        <f t="shared" si="9"/>
        <v>29835.713</v>
      </c>
      <c r="I69" s="99"/>
      <c r="J69" s="99">
        <v>20180.074000000001</v>
      </c>
      <c r="K69" s="100">
        <v>73075.883000000002</v>
      </c>
      <c r="L69" s="39">
        <f t="shared" si="8"/>
        <v>93255.956999999995</v>
      </c>
    </row>
    <row r="70" spans="1:12" s="72" customFormat="1" x14ac:dyDescent="0.25">
      <c r="A70" s="41">
        <v>2007</v>
      </c>
      <c r="B70" s="97">
        <v>169588</v>
      </c>
      <c r="C70" s="97">
        <v>182913</v>
      </c>
      <c r="D70" s="33">
        <f t="shared" si="7"/>
        <v>352501</v>
      </c>
      <c r="E70" s="90"/>
      <c r="F70" s="97">
        <v>15185.127</v>
      </c>
      <c r="G70" s="33">
        <v>17626.759999999998</v>
      </c>
      <c r="H70" s="32">
        <f t="shared" si="9"/>
        <v>32811.887000000002</v>
      </c>
      <c r="I70" s="97"/>
      <c r="J70" s="97">
        <v>16138.812</v>
      </c>
      <c r="K70" s="98">
        <v>80647.873000000007</v>
      </c>
      <c r="L70" s="33">
        <f t="shared" si="8"/>
        <v>96786.685000000012</v>
      </c>
    </row>
    <row r="71" spans="1:12" s="72" customFormat="1" x14ac:dyDescent="0.25">
      <c r="A71" s="92">
        <v>2008</v>
      </c>
      <c r="B71" s="99">
        <v>146463</v>
      </c>
      <c r="C71" s="99">
        <v>175028</v>
      </c>
      <c r="D71" s="39">
        <f t="shared" si="7"/>
        <v>321491</v>
      </c>
      <c r="E71" s="93"/>
      <c r="F71" s="99">
        <v>12777.072</v>
      </c>
      <c r="G71" s="39">
        <v>17409.353999999999</v>
      </c>
      <c r="H71" s="37">
        <f t="shared" si="9"/>
        <v>30186.425999999999</v>
      </c>
      <c r="I71" s="99"/>
      <c r="J71" s="99">
        <v>13072.209000000001</v>
      </c>
      <c r="K71" s="100">
        <v>91168.138000000006</v>
      </c>
      <c r="L71" s="39">
        <f t="shared" si="8"/>
        <v>104240.34700000001</v>
      </c>
    </row>
    <row r="72" spans="1:12" s="72" customFormat="1" x14ac:dyDescent="0.25">
      <c r="A72" s="41">
        <v>2009</v>
      </c>
      <c r="B72" s="53">
        <v>124152</v>
      </c>
      <c r="C72" s="97">
        <f t="shared" ref="C72:C81" si="10">D72-B72</f>
        <v>154829</v>
      </c>
      <c r="D72" s="53">
        <v>278981</v>
      </c>
      <c r="E72" s="90"/>
      <c r="F72" s="97">
        <v>11196</v>
      </c>
      <c r="G72" s="33">
        <v>16109</v>
      </c>
      <c r="H72" s="32">
        <f t="shared" si="9"/>
        <v>27305</v>
      </c>
      <c r="I72" s="97"/>
      <c r="J72" s="97">
        <v>10486</v>
      </c>
      <c r="K72" s="98">
        <v>79174</v>
      </c>
      <c r="L72" s="33">
        <f t="shared" si="8"/>
        <v>89660</v>
      </c>
    </row>
    <row r="73" spans="1:12" s="72" customFormat="1" x14ac:dyDescent="0.25">
      <c r="A73" s="92">
        <v>2010</v>
      </c>
      <c r="B73" s="80">
        <v>117321</v>
      </c>
      <c r="C73" s="99">
        <f t="shared" si="10"/>
        <v>160511</v>
      </c>
      <c r="D73" s="80">
        <v>277832</v>
      </c>
      <c r="E73" s="93"/>
      <c r="F73" s="80">
        <v>11632</v>
      </c>
      <c r="G73" s="80">
        <v>17578</v>
      </c>
      <c r="H73" s="37">
        <f t="shared" si="9"/>
        <v>29210</v>
      </c>
      <c r="I73" s="99"/>
      <c r="J73" s="99">
        <v>10802</v>
      </c>
      <c r="K73" s="100">
        <v>93477</v>
      </c>
      <c r="L73" s="39">
        <f t="shared" si="8"/>
        <v>104279</v>
      </c>
    </row>
    <row r="74" spans="1:12" s="72" customFormat="1" x14ac:dyDescent="0.25">
      <c r="A74" s="41">
        <v>2011</v>
      </c>
      <c r="B74" s="53">
        <v>120703</v>
      </c>
      <c r="C74" s="97">
        <f t="shared" si="10"/>
        <v>182351</v>
      </c>
      <c r="D74" s="53">
        <v>303054</v>
      </c>
      <c r="E74" s="90"/>
      <c r="F74" s="53">
        <v>12683</v>
      </c>
      <c r="G74" s="53">
        <f t="shared" ref="G74:G81" si="11">H74-F74</f>
        <v>21715</v>
      </c>
      <c r="H74" s="32">
        <v>34398</v>
      </c>
      <c r="I74" s="97"/>
      <c r="J74" s="97">
        <v>11480</v>
      </c>
      <c r="K74" s="98">
        <f t="shared" ref="K74:K80" si="12">L74-J74</f>
        <v>89545</v>
      </c>
      <c r="L74" s="33">
        <v>101025</v>
      </c>
    </row>
    <row r="75" spans="1:12" s="72" customFormat="1" x14ac:dyDescent="0.25">
      <c r="A75" s="92">
        <v>2012</v>
      </c>
      <c r="B75" s="80">
        <v>101746</v>
      </c>
      <c r="C75" s="99">
        <f t="shared" si="10"/>
        <v>188258</v>
      </c>
      <c r="D75" s="80">
        <v>290004</v>
      </c>
      <c r="E75" s="93"/>
      <c r="F75" s="80">
        <v>11465</v>
      </c>
      <c r="G75" s="80">
        <f t="shared" si="11"/>
        <v>23680</v>
      </c>
      <c r="H75" s="37">
        <v>35145</v>
      </c>
      <c r="I75" s="99"/>
      <c r="J75" s="99">
        <v>9494</v>
      </c>
      <c r="K75" s="100">
        <f t="shared" si="12"/>
        <v>90853</v>
      </c>
      <c r="L75" s="39">
        <v>100347</v>
      </c>
    </row>
    <row r="76" spans="1:12" s="72" customFormat="1" x14ac:dyDescent="0.25">
      <c r="A76" s="41">
        <v>2013</v>
      </c>
      <c r="B76" s="53">
        <v>83769</v>
      </c>
      <c r="C76" s="97">
        <f t="shared" si="10"/>
        <v>192727</v>
      </c>
      <c r="D76" s="53">
        <v>276496</v>
      </c>
      <c r="E76" s="90"/>
      <c r="F76" s="53">
        <v>10180.449000000001</v>
      </c>
      <c r="G76" s="53">
        <f t="shared" si="11"/>
        <v>25030.286</v>
      </c>
      <c r="H76" s="32">
        <v>35210.735000000001</v>
      </c>
      <c r="I76" s="97"/>
      <c r="J76" s="97">
        <v>6390.9679999999998</v>
      </c>
      <c r="K76" s="98">
        <f t="shared" si="12"/>
        <v>94035.813000000009</v>
      </c>
      <c r="L76" s="33">
        <v>100426.781</v>
      </c>
    </row>
    <row r="77" spans="1:12" s="72" customFormat="1" x14ac:dyDescent="0.25">
      <c r="A77" s="92">
        <v>2014</v>
      </c>
      <c r="B77" s="80">
        <v>82335</v>
      </c>
      <c r="C77" s="99">
        <f t="shared" si="10"/>
        <v>201515</v>
      </c>
      <c r="D77" s="80">
        <v>283850</v>
      </c>
      <c r="E77" s="93"/>
      <c r="F77" s="80">
        <v>10282.598</v>
      </c>
      <c r="G77" s="80">
        <f t="shared" si="11"/>
        <v>27276.446000000004</v>
      </c>
      <c r="H77" s="37">
        <v>37559.044000000002</v>
      </c>
      <c r="I77" s="99"/>
      <c r="J77" s="99">
        <v>5511.433</v>
      </c>
      <c r="K77" s="100">
        <f t="shared" si="12"/>
        <v>97205.320999999996</v>
      </c>
      <c r="L77" s="39">
        <v>102716.754</v>
      </c>
    </row>
    <row r="78" spans="1:12" s="72" customFormat="1" x14ac:dyDescent="0.25">
      <c r="A78" s="41">
        <v>2015</v>
      </c>
      <c r="B78" s="53">
        <v>80528</v>
      </c>
      <c r="C78" s="97">
        <f t="shared" si="10"/>
        <v>208351</v>
      </c>
      <c r="D78" s="53">
        <v>288879</v>
      </c>
      <c r="E78" s="90"/>
      <c r="F78" s="53">
        <v>10608.091</v>
      </c>
      <c r="G78" s="53">
        <f t="shared" si="11"/>
        <v>29103.146000000001</v>
      </c>
      <c r="H78" s="32">
        <v>39711.237000000001</v>
      </c>
      <c r="I78" s="97"/>
      <c r="J78" s="97">
        <v>5264.5780000000004</v>
      </c>
      <c r="K78" s="98">
        <f t="shared" si="12"/>
        <v>111954.804</v>
      </c>
      <c r="L78" s="33">
        <v>117219.382</v>
      </c>
    </row>
    <row r="79" spans="1:12" s="72" customFormat="1" x14ac:dyDescent="0.25">
      <c r="A79" s="92">
        <v>2016</v>
      </c>
      <c r="B79" s="80">
        <v>85461</v>
      </c>
      <c r="C79" s="99">
        <f t="shared" si="10"/>
        <v>222403</v>
      </c>
      <c r="D79" s="80">
        <v>307864</v>
      </c>
      <c r="E79" s="93"/>
      <c r="F79" s="80">
        <v>11816.323</v>
      </c>
      <c r="G79" s="80">
        <f t="shared" si="11"/>
        <v>32338.37</v>
      </c>
      <c r="H79" s="37">
        <v>44154.692999999999</v>
      </c>
      <c r="I79" s="99"/>
      <c r="J79" s="99">
        <v>6607.2659999999996</v>
      </c>
      <c r="K79" s="100">
        <f t="shared" si="12"/>
        <v>126149.95499999999</v>
      </c>
      <c r="L79" s="39">
        <v>132757.22099999999</v>
      </c>
    </row>
    <row r="80" spans="1:12" s="72" customFormat="1" x14ac:dyDescent="0.25">
      <c r="A80" s="101">
        <v>2017</v>
      </c>
      <c r="B80" s="102">
        <v>91594</v>
      </c>
      <c r="C80" s="103">
        <f t="shared" si="10"/>
        <v>231945</v>
      </c>
      <c r="D80" s="102">
        <v>323539</v>
      </c>
      <c r="E80" s="104"/>
      <c r="F80" s="102">
        <v>12723.537</v>
      </c>
      <c r="G80" s="102">
        <f t="shared" si="11"/>
        <v>34560.963000000003</v>
      </c>
      <c r="H80" s="43">
        <v>47284.5</v>
      </c>
      <c r="I80" s="103"/>
      <c r="J80" s="103">
        <v>6985.9949999999999</v>
      </c>
      <c r="K80" s="105">
        <f t="shared" si="12"/>
        <v>149119.30900000001</v>
      </c>
      <c r="L80" s="43">
        <v>156105.304</v>
      </c>
    </row>
    <row r="81" spans="1:21" s="72" customFormat="1" x14ac:dyDescent="0.25">
      <c r="A81" s="92">
        <v>2018</v>
      </c>
      <c r="B81" s="80">
        <v>94361</v>
      </c>
      <c r="C81" s="99">
        <f t="shared" si="10"/>
        <v>241290</v>
      </c>
      <c r="D81" s="80">
        <v>335651</v>
      </c>
      <c r="E81" s="93"/>
      <c r="F81" s="80">
        <v>13452.880999999999</v>
      </c>
      <c r="G81" s="80">
        <f t="shared" si="11"/>
        <v>36719.576000000001</v>
      </c>
      <c r="H81" s="37">
        <v>50172.457000000002</v>
      </c>
      <c r="I81" s="99"/>
      <c r="J81" s="99">
        <v>7386.1959999999999</v>
      </c>
      <c r="K81" s="100">
        <f>L81-J81</f>
        <v>165553.802</v>
      </c>
      <c r="L81" s="39">
        <v>172939.99799999999</v>
      </c>
    </row>
    <row r="82" spans="1:21" s="72" customFormat="1" x14ac:dyDescent="0.25">
      <c r="A82" s="106">
        <v>2019</v>
      </c>
      <c r="B82" s="107">
        <v>96296</v>
      </c>
      <c r="C82" s="108">
        <v>248267</v>
      </c>
      <c r="D82" s="107">
        <f>SUM(B82:C82)</f>
        <v>344563</v>
      </c>
      <c r="E82" s="109"/>
      <c r="F82" s="107">
        <v>14011</v>
      </c>
      <c r="G82" s="107">
        <v>38677</v>
      </c>
      <c r="H82" s="48">
        <f>SUM(F82:G82)</f>
        <v>52688</v>
      </c>
      <c r="I82" s="108"/>
      <c r="J82" s="108">
        <v>5913</v>
      </c>
      <c r="K82" s="110">
        <v>170895</v>
      </c>
      <c r="L82" s="49">
        <v>176809</v>
      </c>
    </row>
    <row r="83" spans="1:21" s="72" customFormat="1" x14ac:dyDescent="0.25">
      <c r="A83" s="111"/>
      <c r="B83" s="111"/>
      <c r="C83" s="111"/>
      <c r="D83" s="112"/>
      <c r="E83" s="111"/>
      <c r="F83" s="111"/>
      <c r="G83" s="111"/>
      <c r="H83" s="111"/>
      <c r="I83" s="111"/>
      <c r="J83" s="111"/>
      <c r="K83" s="111"/>
      <c r="L83" s="111"/>
    </row>
    <row r="84" spans="1:21" ht="15" customHeight="1" x14ac:dyDescent="0.3">
      <c r="A84" s="52" t="s">
        <v>53</v>
      </c>
      <c r="D84" s="28"/>
      <c r="H84" s="28"/>
      <c r="L84" s="28"/>
    </row>
    <row r="85" spans="1:21" ht="27.75" customHeight="1" x14ac:dyDescent="0.25">
      <c r="A85" s="336" t="s">
        <v>64</v>
      </c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113"/>
      <c r="N85" s="113"/>
      <c r="O85" s="113"/>
      <c r="P85" s="113"/>
      <c r="Q85" s="113"/>
      <c r="R85" s="113"/>
      <c r="S85" s="113"/>
      <c r="T85" s="113"/>
      <c r="U85" s="113"/>
    </row>
    <row r="86" spans="1:21" x14ac:dyDescent="0.25">
      <c r="D86" s="28"/>
      <c r="H86" s="28"/>
      <c r="L86" s="28"/>
    </row>
    <row r="87" spans="1:21" x14ac:dyDescent="0.25">
      <c r="A87" s="84" t="s">
        <v>65</v>
      </c>
      <c r="D87" s="28"/>
      <c r="H87" s="28"/>
      <c r="L87" s="28"/>
    </row>
    <row r="88" spans="1:21" x14ac:dyDescent="0.25">
      <c r="A88" s="84" t="s">
        <v>66</v>
      </c>
      <c r="D88" s="28"/>
      <c r="H88" s="28"/>
      <c r="L88" s="28"/>
    </row>
    <row r="89" spans="1:21" x14ac:dyDescent="0.25">
      <c r="D89" s="28"/>
      <c r="H89" s="28"/>
      <c r="L89" s="28"/>
    </row>
    <row r="90" spans="1:21" x14ac:dyDescent="0.25">
      <c r="D90" s="28"/>
      <c r="H90" s="28"/>
      <c r="L90" s="28"/>
    </row>
    <row r="91" spans="1:21" x14ac:dyDescent="0.25">
      <c r="D91" s="30"/>
      <c r="H91" s="30"/>
      <c r="L91" s="30"/>
    </row>
    <row r="92" spans="1:21" x14ac:dyDescent="0.25">
      <c r="D92" s="30"/>
      <c r="H92" s="30"/>
      <c r="L92" s="30"/>
    </row>
    <row r="93" spans="1:21" x14ac:dyDescent="0.25">
      <c r="D93" s="30"/>
      <c r="H93" s="30"/>
      <c r="L93" s="30"/>
    </row>
    <row r="94" spans="1:21" x14ac:dyDescent="0.25">
      <c r="D94" s="114"/>
      <c r="H94" s="114"/>
      <c r="L94" s="114"/>
    </row>
  </sheetData>
  <mergeCells count="1">
    <mergeCell ref="A85:L85"/>
  </mergeCells>
  <pageMargins left="0.19685039370078741" right="0.19685039370078741" top="0.55118110236220474" bottom="0" header="0" footer="0"/>
  <pageSetup paperSize="9" scale="72" orientation="portrait" r:id="rId1"/>
  <headerFooter alignWithMargins="0"/>
  <ignoredErrors>
    <ignoredError sqref="B19:L4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Y34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1" width="10.54296875" style="67" customWidth="1"/>
    <col min="2" max="8" width="9.7265625" style="67" hidden="1" customWidth="1"/>
    <col min="9" max="15" width="9.7265625" style="67" customWidth="1"/>
    <col min="16" max="16" width="8.7265625" style="67" customWidth="1"/>
    <col min="17" max="17" width="6.26953125" style="67" customWidth="1"/>
    <col min="18" max="18" width="2.26953125" style="67" customWidth="1"/>
    <col min="19" max="19" width="10.453125" style="67" hidden="1" customWidth="1"/>
    <col min="20" max="24" width="10.26953125" style="67" hidden="1" customWidth="1"/>
    <col min="25" max="25" width="9.7265625" style="67" hidden="1" customWidth="1"/>
    <col min="26" max="32" width="9.7265625" style="67" customWidth="1"/>
    <col min="33" max="33" width="9.90625" style="67" customWidth="1"/>
    <col min="34" max="34" width="6.453125" style="67" customWidth="1"/>
    <col min="35" max="35" width="2.26953125" style="67" customWidth="1"/>
    <col min="36" max="42" width="9.7265625" style="67" hidden="1" customWidth="1"/>
    <col min="43" max="50" width="9.7265625" style="67" customWidth="1"/>
    <col min="51" max="51" width="6.54296875" style="67" customWidth="1"/>
    <col min="52" max="256" width="11.453125" style="67"/>
    <col min="257" max="257" width="10.54296875" style="67" customWidth="1"/>
    <col min="258" max="264" width="0" style="67" hidden="1" customWidth="1"/>
    <col min="265" max="271" width="9.7265625" style="67" customWidth="1"/>
    <col min="272" max="272" width="8.7265625" style="67" customWidth="1"/>
    <col min="273" max="273" width="6.26953125" style="67" customWidth="1"/>
    <col min="274" max="274" width="2.26953125" style="67" customWidth="1"/>
    <col min="275" max="281" width="0" style="67" hidden="1" customWidth="1"/>
    <col min="282" max="288" width="9.7265625" style="67" customWidth="1"/>
    <col min="289" max="289" width="9.90625" style="67" customWidth="1"/>
    <col min="290" max="290" width="6.453125" style="67" customWidth="1"/>
    <col min="291" max="291" width="2.26953125" style="67" customWidth="1"/>
    <col min="292" max="298" width="0" style="67" hidden="1" customWidth="1"/>
    <col min="299" max="306" width="9.7265625" style="67" customWidth="1"/>
    <col min="307" max="307" width="6.54296875" style="67" customWidth="1"/>
    <col min="308" max="512" width="11.453125" style="67"/>
    <col min="513" max="513" width="10.54296875" style="67" customWidth="1"/>
    <col min="514" max="520" width="0" style="67" hidden="1" customWidth="1"/>
    <col min="521" max="527" width="9.7265625" style="67" customWidth="1"/>
    <col min="528" max="528" width="8.7265625" style="67" customWidth="1"/>
    <col min="529" max="529" width="6.26953125" style="67" customWidth="1"/>
    <col min="530" max="530" width="2.26953125" style="67" customWidth="1"/>
    <col min="531" max="537" width="0" style="67" hidden="1" customWidth="1"/>
    <col min="538" max="544" width="9.7265625" style="67" customWidth="1"/>
    <col min="545" max="545" width="9.90625" style="67" customWidth="1"/>
    <col min="546" max="546" width="6.453125" style="67" customWidth="1"/>
    <col min="547" max="547" width="2.26953125" style="67" customWidth="1"/>
    <col min="548" max="554" width="0" style="67" hidden="1" customWidth="1"/>
    <col min="555" max="562" width="9.7265625" style="67" customWidth="1"/>
    <col min="563" max="563" width="6.54296875" style="67" customWidth="1"/>
    <col min="564" max="768" width="11.453125" style="67"/>
    <col min="769" max="769" width="10.54296875" style="67" customWidth="1"/>
    <col min="770" max="776" width="0" style="67" hidden="1" customWidth="1"/>
    <col min="777" max="783" width="9.7265625" style="67" customWidth="1"/>
    <col min="784" max="784" width="8.7265625" style="67" customWidth="1"/>
    <col min="785" max="785" width="6.26953125" style="67" customWidth="1"/>
    <col min="786" max="786" width="2.26953125" style="67" customWidth="1"/>
    <col min="787" max="793" width="0" style="67" hidden="1" customWidth="1"/>
    <col min="794" max="800" width="9.7265625" style="67" customWidth="1"/>
    <col min="801" max="801" width="9.90625" style="67" customWidth="1"/>
    <col min="802" max="802" width="6.453125" style="67" customWidth="1"/>
    <col min="803" max="803" width="2.26953125" style="67" customWidth="1"/>
    <col min="804" max="810" width="0" style="67" hidden="1" customWidth="1"/>
    <col min="811" max="818" width="9.7265625" style="67" customWidth="1"/>
    <col min="819" max="819" width="6.54296875" style="67" customWidth="1"/>
    <col min="820" max="1024" width="11.453125" style="67"/>
    <col min="1025" max="1025" width="10.54296875" style="67" customWidth="1"/>
    <col min="1026" max="1032" width="0" style="67" hidden="1" customWidth="1"/>
    <col min="1033" max="1039" width="9.7265625" style="67" customWidth="1"/>
    <col min="1040" max="1040" width="8.7265625" style="67" customWidth="1"/>
    <col min="1041" max="1041" width="6.26953125" style="67" customWidth="1"/>
    <col min="1042" max="1042" width="2.26953125" style="67" customWidth="1"/>
    <col min="1043" max="1049" width="0" style="67" hidden="1" customWidth="1"/>
    <col min="1050" max="1056" width="9.7265625" style="67" customWidth="1"/>
    <col min="1057" max="1057" width="9.90625" style="67" customWidth="1"/>
    <col min="1058" max="1058" width="6.453125" style="67" customWidth="1"/>
    <col min="1059" max="1059" width="2.26953125" style="67" customWidth="1"/>
    <col min="1060" max="1066" width="0" style="67" hidden="1" customWidth="1"/>
    <col min="1067" max="1074" width="9.7265625" style="67" customWidth="1"/>
    <col min="1075" max="1075" width="6.54296875" style="67" customWidth="1"/>
    <col min="1076" max="1280" width="11.453125" style="67"/>
    <col min="1281" max="1281" width="10.54296875" style="67" customWidth="1"/>
    <col min="1282" max="1288" width="0" style="67" hidden="1" customWidth="1"/>
    <col min="1289" max="1295" width="9.7265625" style="67" customWidth="1"/>
    <col min="1296" max="1296" width="8.7265625" style="67" customWidth="1"/>
    <col min="1297" max="1297" width="6.26953125" style="67" customWidth="1"/>
    <col min="1298" max="1298" width="2.26953125" style="67" customWidth="1"/>
    <col min="1299" max="1305" width="0" style="67" hidden="1" customWidth="1"/>
    <col min="1306" max="1312" width="9.7265625" style="67" customWidth="1"/>
    <col min="1313" max="1313" width="9.90625" style="67" customWidth="1"/>
    <col min="1314" max="1314" width="6.453125" style="67" customWidth="1"/>
    <col min="1315" max="1315" width="2.26953125" style="67" customWidth="1"/>
    <col min="1316" max="1322" width="0" style="67" hidden="1" customWidth="1"/>
    <col min="1323" max="1330" width="9.7265625" style="67" customWidth="1"/>
    <col min="1331" max="1331" width="6.54296875" style="67" customWidth="1"/>
    <col min="1332" max="1536" width="11.453125" style="67"/>
    <col min="1537" max="1537" width="10.54296875" style="67" customWidth="1"/>
    <col min="1538" max="1544" width="0" style="67" hidden="1" customWidth="1"/>
    <col min="1545" max="1551" width="9.7265625" style="67" customWidth="1"/>
    <col min="1552" max="1552" width="8.7265625" style="67" customWidth="1"/>
    <col min="1553" max="1553" width="6.26953125" style="67" customWidth="1"/>
    <col min="1554" max="1554" width="2.26953125" style="67" customWidth="1"/>
    <col min="1555" max="1561" width="0" style="67" hidden="1" customWidth="1"/>
    <col min="1562" max="1568" width="9.7265625" style="67" customWidth="1"/>
    <col min="1569" max="1569" width="9.90625" style="67" customWidth="1"/>
    <col min="1570" max="1570" width="6.453125" style="67" customWidth="1"/>
    <col min="1571" max="1571" width="2.26953125" style="67" customWidth="1"/>
    <col min="1572" max="1578" width="0" style="67" hidden="1" customWidth="1"/>
    <col min="1579" max="1586" width="9.7265625" style="67" customWidth="1"/>
    <col min="1587" max="1587" width="6.54296875" style="67" customWidth="1"/>
    <col min="1588" max="1792" width="11.453125" style="67"/>
    <col min="1793" max="1793" width="10.54296875" style="67" customWidth="1"/>
    <col min="1794" max="1800" width="0" style="67" hidden="1" customWidth="1"/>
    <col min="1801" max="1807" width="9.7265625" style="67" customWidth="1"/>
    <col min="1808" max="1808" width="8.7265625" style="67" customWidth="1"/>
    <col min="1809" max="1809" width="6.26953125" style="67" customWidth="1"/>
    <col min="1810" max="1810" width="2.26953125" style="67" customWidth="1"/>
    <col min="1811" max="1817" width="0" style="67" hidden="1" customWidth="1"/>
    <col min="1818" max="1824" width="9.7265625" style="67" customWidth="1"/>
    <col min="1825" max="1825" width="9.90625" style="67" customWidth="1"/>
    <col min="1826" max="1826" width="6.453125" style="67" customWidth="1"/>
    <col min="1827" max="1827" width="2.26953125" style="67" customWidth="1"/>
    <col min="1828" max="1834" width="0" style="67" hidden="1" customWidth="1"/>
    <col min="1835" max="1842" width="9.7265625" style="67" customWidth="1"/>
    <col min="1843" max="1843" width="6.54296875" style="67" customWidth="1"/>
    <col min="1844" max="2048" width="11.453125" style="67"/>
    <col min="2049" max="2049" width="10.54296875" style="67" customWidth="1"/>
    <col min="2050" max="2056" width="0" style="67" hidden="1" customWidth="1"/>
    <col min="2057" max="2063" width="9.7265625" style="67" customWidth="1"/>
    <col min="2064" max="2064" width="8.7265625" style="67" customWidth="1"/>
    <col min="2065" max="2065" width="6.26953125" style="67" customWidth="1"/>
    <col min="2066" max="2066" width="2.26953125" style="67" customWidth="1"/>
    <col min="2067" max="2073" width="0" style="67" hidden="1" customWidth="1"/>
    <col min="2074" max="2080" width="9.7265625" style="67" customWidth="1"/>
    <col min="2081" max="2081" width="9.90625" style="67" customWidth="1"/>
    <col min="2082" max="2082" width="6.453125" style="67" customWidth="1"/>
    <col min="2083" max="2083" width="2.26953125" style="67" customWidth="1"/>
    <col min="2084" max="2090" width="0" style="67" hidden="1" customWidth="1"/>
    <col min="2091" max="2098" width="9.7265625" style="67" customWidth="1"/>
    <col min="2099" max="2099" width="6.54296875" style="67" customWidth="1"/>
    <col min="2100" max="2304" width="11.453125" style="67"/>
    <col min="2305" max="2305" width="10.54296875" style="67" customWidth="1"/>
    <col min="2306" max="2312" width="0" style="67" hidden="1" customWidth="1"/>
    <col min="2313" max="2319" width="9.7265625" style="67" customWidth="1"/>
    <col min="2320" max="2320" width="8.7265625" style="67" customWidth="1"/>
    <col min="2321" max="2321" width="6.26953125" style="67" customWidth="1"/>
    <col min="2322" max="2322" width="2.26953125" style="67" customWidth="1"/>
    <col min="2323" max="2329" width="0" style="67" hidden="1" customWidth="1"/>
    <col min="2330" max="2336" width="9.7265625" style="67" customWidth="1"/>
    <col min="2337" max="2337" width="9.90625" style="67" customWidth="1"/>
    <col min="2338" max="2338" width="6.453125" style="67" customWidth="1"/>
    <col min="2339" max="2339" width="2.26953125" style="67" customWidth="1"/>
    <col min="2340" max="2346" width="0" style="67" hidden="1" customWidth="1"/>
    <col min="2347" max="2354" width="9.7265625" style="67" customWidth="1"/>
    <col min="2355" max="2355" width="6.54296875" style="67" customWidth="1"/>
    <col min="2356" max="2560" width="11.453125" style="67"/>
    <col min="2561" max="2561" width="10.54296875" style="67" customWidth="1"/>
    <col min="2562" max="2568" width="0" style="67" hidden="1" customWidth="1"/>
    <col min="2569" max="2575" width="9.7265625" style="67" customWidth="1"/>
    <col min="2576" max="2576" width="8.7265625" style="67" customWidth="1"/>
    <col min="2577" max="2577" width="6.26953125" style="67" customWidth="1"/>
    <col min="2578" max="2578" width="2.26953125" style="67" customWidth="1"/>
    <col min="2579" max="2585" width="0" style="67" hidden="1" customWidth="1"/>
    <col min="2586" max="2592" width="9.7265625" style="67" customWidth="1"/>
    <col min="2593" max="2593" width="9.90625" style="67" customWidth="1"/>
    <col min="2594" max="2594" width="6.453125" style="67" customWidth="1"/>
    <col min="2595" max="2595" width="2.26953125" style="67" customWidth="1"/>
    <col min="2596" max="2602" width="0" style="67" hidden="1" customWidth="1"/>
    <col min="2603" max="2610" width="9.7265625" style="67" customWidth="1"/>
    <col min="2611" max="2611" width="6.54296875" style="67" customWidth="1"/>
    <col min="2612" max="2816" width="11.453125" style="67"/>
    <col min="2817" max="2817" width="10.54296875" style="67" customWidth="1"/>
    <col min="2818" max="2824" width="0" style="67" hidden="1" customWidth="1"/>
    <col min="2825" max="2831" width="9.7265625" style="67" customWidth="1"/>
    <col min="2832" max="2832" width="8.7265625" style="67" customWidth="1"/>
    <col min="2833" max="2833" width="6.26953125" style="67" customWidth="1"/>
    <col min="2834" max="2834" width="2.26953125" style="67" customWidth="1"/>
    <col min="2835" max="2841" width="0" style="67" hidden="1" customWidth="1"/>
    <col min="2842" max="2848" width="9.7265625" style="67" customWidth="1"/>
    <col min="2849" max="2849" width="9.90625" style="67" customWidth="1"/>
    <col min="2850" max="2850" width="6.453125" style="67" customWidth="1"/>
    <col min="2851" max="2851" width="2.26953125" style="67" customWidth="1"/>
    <col min="2852" max="2858" width="0" style="67" hidden="1" customWidth="1"/>
    <col min="2859" max="2866" width="9.7265625" style="67" customWidth="1"/>
    <col min="2867" max="2867" width="6.54296875" style="67" customWidth="1"/>
    <col min="2868" max="3072" width="11.453125" style="67"/>
    <col min="3073" max="3073" width="10.54296875" style="67" customWidth="1"/>
    <col min="3074" max="3080" width="0" style="67" hidden="1" customWidth="1"/>
    <col min="3081" max="3087" width="9.7265625" style="67" customWidth="1"/>
    <col min="3088" max="3088" width="8.7265625" style="67" customWidth="1"/>
    <col min="3089" max="3089" width="6.26953125" style="67" customWidth="1"/>
    <col min="3090" max="3090" width="2.26953125" style="67" customWidth="1"/>
    <col min="3091" max="3097" width="0" style="67" hidden="1" customWidth="1"/>
    <col min="3098" max="3104" width="9.7265625" style="67" customWidth="1"/>
    <col min="3105" max="3105" width="9.90625" style="67" customWidth="1"/>
    <col min="3106" max="3106" width="6.453125" style="67" customWidth="1"/>
    <col min="3107" max="3107" width="2.26953125" style="67" customWidth="1"/>
    <col min="3108" max="3114" width="0" style="67" hidden="1" customWidth="1"/>
    <col min="3115" max="3122" width="9.7265625" style="67" customWidth="1"/>
    <col min="3123" max="3123" width="6.54296875" style="67" customWidth="1"/>
    <col min="3124" max="3328" width="11.453125" style="67"/>
    <col min="3329" max="3329" width="10.54296875" style="67" customWidth="1"/>
    <col min="3330" max="3336" width="0" style="67" hidden="1" customWidth="1"/>
    <col min="3337" max="3343" width="9.7265625" style="67" customWidth="1"/>
    <col min="3344" max="3344" width="8.7265625" style="67" customWidth="1"/>
    <col min="3345" max="3345" width="6.26953125" style="67" customWidth="1"/>
    <col min="3346" max="3346" width="2.26953125" style="67" customWidth="1"/>
    <col min="3347" max="3353" width="0" style="67" hidden="1" customWidth="1"/>
    <col min="3354" max="3360" width="9.7265625" style="67" customWidth="1"/>
    <col min="3361" max="3361" width="9.90625" style="67" customWidth="1"/>
    <col min="3362" max="3362" width="6.453125" style="67" customWidth="1"/>
    <col min="3363" max="3363" width="2.26953125" style="67" customWidth="1"/>
    <col min="3364" max="3370" width="0" style="67" hidden="1" customWidth="1"/>
    <col min="3371" max="3378" width="9.7265625" style="67" customWidth="1"/>
    <col min="3379" max="3379" width="6.54296875" style="67" customWidth="1"/>
    <col min="3380" max="3584" width="11.453125" style="67"/>
    <col min="3585" max="3585" width="10.54296875" style="67" customWidth="1"/>
    <col min="3586" max="3592" width="0" style="67" hidden="1" customWidth="1"/>
    <col min="3593" max="3599" width="9.7265625" style="67" customWidth="1"/>
    <col min="3600" max="3600" width="8.7265625" style="67" customWidth="1"/>
    <col min="3601" max="3601" width="6.26953125" style="67" customWidth="1"/>
    <col min="3602" max="3602" width="2.26953125" style="67" customWidth="1"/>
    <col min="3603" max="3609" width="0" style="67" hidden="1" customWidth="1"/>
    <col min="3610" max="3616" width="9.7265625" style="67" customWidth="1"/>
    <col min="3617" max="3617" width="9.90625" style="67" customWidth="1"/>
    <col min="3618" max="3618" width="6.453125" style="67" customWidth="1"/>
    <col min="3619" max="3619" width="2.26953125" style="67" customWidth="1"/>
    <col min="3620" max="3626" width="0" style="67" hidden="1" customWidth="1"/>
    <col min="3627" max="3634" width="9.7265625" style="67" customWidth="1"/>
    <col min="3635" max="3635" width="6.54296875" style="67" customWidth="1"/>
    <col min="3636" max="3840" width="11.453125" style="67"/>
    <col min="3841" max="3841" width="10.54296875" style="67" customWidth="1"/>
    <col min="3842" max="3848" width="0" style="67" hidden="1" customWidth="1"/>
    <col min="3849" max="3855" width="9.7265625" style="67" customWidth="1"/>
    <col min="3856" max="3856" width="8.7265625" style="67" customWidth="1"/>
    <col min="3857" max="3857" width="6.26953125" style="67" customWidth="1"/>
    <col min="3858" max="3858" width="2.26953125" style="67" customWidth="1"/>
    <col min="3859" max="3865" width="0" style="67" hidden="1" customWidth="1"/>
    <col min="3866" max="3872" width="9.7265625" style="67" customWidth="1"/>
    <col min="3873" max="3873" width="9.90625" style="67" customWidth="1"/>
    <col min="3874" max="3874" width="6.453125" style="67" customWidth="1"/>
    <col min="3875" max="3875" width="2.26953125" style="67" customWidth="1"/>
    <col min="3876" max="3882" width="0" style="67" hidden="1" customWidth="1"/>
    <col min="3883" max="3890" width="9.7265625" style="67" customWidth="1"/>
    <col min="3891" max="3891" width="6.54296875" style="67" customWidth="1"/>
    <col min="3892" max="4096" width="11.453125" style="67"/>
    <col min="4097" max="4097" width="10.54296875" style="67" customWidth="1"/>
    <col min="4098" max="4104" width="0" style="67" hidden="1" customWidth="1"/>
    <col min="4105" max="4111" width="9.7265625" style="67" customWidth="1"/>
    <col min="4112" max="4112" width="8.7265625" style="67" customWidth="1"/>
    <col min="4113" max="4113" width="6.26953125" style="67" customWidth="1"/>
    <col min="4114" max="4114" width="2.26953125" style="67" customWidth="1"/>
    <col min="4115" max="4121" width="0" style="67" hidden="1" customWidth="1"/>
    <col min="4122" max="4128" width="9.7265625" style="67" customWidth="1"/>
    <col min="4129" max="4129" width="9.90625" style="67" customWidth="1"/>
    <col min="4130" max="4130" width="6.453125" style="67" customWidth="1"/>
    <col min="4131" max="4131" width="2.26953125" style="67" customWidth="1"/>
    <col min="4132" max="4138" width="0" style="67" hidden="1" customWidth="1"/>
    <col min="4139" max="4146" width="9.7265625" style="67" customWidth="1"/>
    <col min="4147" max="4147" width="6.54296875" style="67" customWidth="1"/>
    <col min="4148" max="4352" width="11.453125" style="67"/>
    <col min="4353" max="4353" width="10.54296875" style="67" customWidth="1"/>
    <col min="4354" max="4360" width="0" style="67" hidden="1" customWidth="1"/>
    <col min="4361" max="4367" width="9.7265625" style="67" customWidth="1"/>
    <col min="4368" max="4368" width="8.7265625" style="67" customWidth="1"/>
    <col min="4369" max="4369" width="6.26953125" style="67" customWidth="1"/>
    <col min="4370" max="4370" width="2.26953125" style="67" customWidth="1"/>
    <col min="4371" max="4377" width="0" style="67" hidden="1" customWidth="1"/>
    <col min="4378" max="4384" width="9.7265625" style="67" customWidth="1"/>
    <col min="4385" max="4385" width="9.90625" style="67" customWidth="1"/>
    <col min="4386" max="4386" width="6.453125" style="67" customWidth="1"/>
    <col min="4387" max="4387" width="2.26953125" style="67" customWidth="1"/>
    <col min="4388" max="4394" width="0" style="67" hidden="1" customWidth="1"/>
    <col min="4395" max="4402" width="9.7265625" style="67" customWidth="1"/>
    <col min="4403" max="4403" width="6.54296875" style="67" customWidth="1"/>
    <col min="4404" max="4608" width="11.453125" style="67"/>
    <col min="4609" max="4609" width="10.54296875" style="67" customWidth="1"/>
    <col min="4610" max="4616" width="0" style="67" hidden="1" customWidth="1"/>
    <col min="4617" max="4623" width="9.7265625" style="67" customWidth="1"/>
    <col min="4624" max="4624" width="8.7265625" style="67" customWidth="1"/>
    <col min="4625" max="4625" width="6.26953125" style="67" customWidth="1"/>
    <col min="4626" max="4626" width="2.26953125" style="67" customWidth="1"/>
    <col min="4627" max="4633" width="0" style="67" hidden="1" customWidth="1"/>
    <col min="4634" max="4640" width="9.7265625" style="67" customWidth="1"/>
    <col min="4641" max="4641" width="9.90625" style="67" customWidth="1"/>
    <col min="4642" max="4642" width="6.453125" style="67" customWidth="1"/>
    <col min="4643" max="4643" width="2.26953125" style="67" customWidth="1"/>
    <col min="4644" max="4650" width="0" style="67" hidden="1" customWidth="1"/>
    <col min="4651" max="4658" width="9.7265625" style="67" customWidth="1"/>
    <col min="4659" max="4659" width="6.54296875" style="67" customWidth="1"/>
    <col min="4660" max="4864" width="11.453125" style="67"/>
    <col min="4865" max="4865" width="10.54296875" style="67" customWidth="1"/>
    <col min="4866" max="4872" width="0" style="67" hidden="1" customWidth="1"/>
    <col min="4873" max="4879" width="9.7265625" style="67" customWidth="1"/>
    <col min="4880" max="4880" width="8.7265625" style="67" customWidth="1"/>
    <col min="4881" max="4881" width="6.26953125" style="67" customWidth="1"/>
    <col min="4882" max="4882" width="2.26953125" style="67" customWidth="1"/>
    <col min="4883" max="4889" width="0" style="67" hidden="1" customWidth="1"/>
    <col min="4890" max="4896" width="9.7265625" style="67" customWidth="1"/>
    <col min="4897" max="4897" width="9.90625" style="67" customWidth="1"/>
    <col min="4898" max="4898" width="6.453125" style="67" customWidth="1"/>
    <col min="4899" max="4899" width="2.26953125" style="67" customWidth="1"/>
    <col min="4900" max="4906" width="0" style="67" hidden="1" customWidth="1"/>
    <col min="4907" max="4914" width="9.7265625" style="67" customWidth="1"/>
    <col min="4915" max="4915" width="6.54296875" style="67" customWidth="1"/>
    <col min="4916" max="5120" width="11.453125" style="67"/>
    <col min="5121" max="5121" width="10.54296875" style="67" customWidth="1"/>
    <col min="5122" max="5128" width="0" style="67" hidden="1" customWidth="1"/>
    <col min="5129" max="5135" width="9.7265625" style="67" customWidth="1"/>
    <col min="5136" max="5136" width="8.7265625" style="67" customWidth="1"/>
    <col min="5137" max="5137" width="6.26953125" style="67" customWidth="1"/>
    <col min="5138" max="5138" width="2.26953125" style="67" customWidth="1"/>
    <col min="5139" max="5145" width="0" style="67" hidden="1" customWidth="1"/>
    <col min="5146" max="5152" width="9.7265625" style="67" customWidth="1"/>
    <col min="5153" max="5153" width="9.90625" style="67" customWidth="1"/>
    <col min="5154" max="5154" width="6.453125" style="67" customWidth="1"/>
    <col min="5155" max="5155" width="2.26953125" style="67" customWidth="1"/>
    <col min="5156" max="5162" width="0" style="67" hidden="1" customWidth="1"/>
    <col min="5163" max="5170" width="9.7265625" style="67" customWidth="1"/>
    <col min="5171" max="5171" width="6.54296875" style="67" customWidth="1"/>
    <col min="5172" max="5376" width="11.453125" style="67"/>
    <col min="5377" max="5377" width="10.54296875" style="67" customWidth="1"/>
    <col min="5378" max="5384" width="0" style="67" hidden="1" customWidth="1"/>
    <col min="5385" max="5391" width="9.7265625" style="67" customWidth="1"/>
    <col min="5392" max="5392" width="8.7265625" style="67" customWidth="1"/>
    <col min="5393" max="5393" width="6.26953125" style="67" customWidth="1"/>
    <col min="5394" max="5394" width="2.26953125" style="67" customWidth="1"/>
    <col min="5395" max="5401" width="0" style="67" hidden="1" customWidth="1"/>
    <col min="5402" max="5408" width="9.7265625" style="67" customWidth="1"/>
    <col min="5409" max="5409" width="9.90625" style="67" customWidth="1"/>
    <col min="5410" max="5410" width="6.453125" style="67" customWidth="1"/>
    <col min="5411" max="5411" width="2.26953125" style="67" customWidth="1"/>
    <col min="5412" max="5418" width="0" style="67" hidden="1" customWidth="1"/>
    <col min="5419" max="5426" width="9.7265625" style="67" customWidth="1"/>
    <col min="5427" max="5427" width="6.54296875" style="67" customWidth="1"/>
    <col min="5428" max="5632" width="11.453125" style="67"/>
    <col min="5633" max="5633" width="10.54296875" style="67" customWidth="1"/>
    <col min="5634" max="5640" width="0" style="67" hidden="1" customWidth="1"/>
    <col min="5641" max="5647" width="9.7265625" style="67" customWidth="1"/>
    <col min="5648" max="5648" width="8.7265625" style="67" customWidth="1"/>
    <col min="5649" max="5649" width="6.26953125" style="67" customWidth="1"/>
    <col min="5650" max="5650" width="2.26953125" style="67" customWidth="1"/>
    <col min="5651" max="5657" width="0" style="67" hidden="1" customWidth="1"/>
    <col min="5658" max="5664" width="9.7265625" style="67" customWidth="1"/>
    <col min="5665" max="5665" width="9.90625" style="67" customWidth="1"/>
    <col min="5666" max="5666" width="6.453125" style="67" customWidth="1"/>
    <col min="5667" max="5667" width="2.26953125" style="67" customWidth="1"/>
    <col min="5668" max="5674" width="0" style="67" hidden="1" customWidth="1"/>
    <col min="5675" max="5682" width="9.7265625" style="67" customWidth="1"/>
    <col min="5683" max="5683" width="6.54296875" style="67" customWidth="1"/>
    <col min="5684" max="5888" width="11.453125" style="67"/>
    <col min="5889" max="5889" width="10.54296875" style="67" customWidth="1"/>
    <col min="5890" max="5896" width="0" style="67" hidden="1" customWidth="1"/>
    <col min="5897" max="5903" width="9.7265625" style="67" customWidth="1"/>
    <col min="5904" max="5904" width="8.7265625" style="67" customWidth="1"/>
    <col min="5905" max="5905" width="6.26953125" style="67" customWidth="1"/>
    <col min="5906" max="5906" width="2.26953125" style="67" customWidth="1"/>
    <col min="5907" max="5913" width="0" style="67" hidden="1" customWidth="1"/>
    <col min="5914" max="5920" width="9.7265625" style="67" customWidth="1"/>
    <col min="5921" max="5921" width="9.90625" style="67" customWidth="1"/>
    <col min="5922" max="5922" width="6.453125" style="67" customWidth="1"/>
    <col min="5923" max="5923" width="2.26953125" style="67" customWidth="1"/>
    <col min="5924" max="5930" width="0" style="67" hidden="1" customWidth="1"/>
    <col min="5931" max="5938" width="9.7265625" style="67" customWidth="1"/>
    <col min="5939" max="5939" width="6.54296875" style="67" customWidth="1"/>
    <col min="5940" max="6144" width="11.453125" style="67"/>
    <col min="6145" max="6145" width="10.54296875" style="67" customWidth="1"/>
    <col min="6146" max="6152" width="0" style="67" hidden="1" customWidth="1"/>
    <col min="6153" max="6159" width="9.7265625" style="67" customWidth="1"/>
    <col min="6160" max="6160" width="8.7265625" style="67" customWidth="1"/>
    <col min="6161" max="6161" width="6.26953125" style="67" customWidth="1"/>
    <col min="6162" max="6162" width="2.26953125" style="67" customWidth="1"/>
    <col min="6163" max="6169" width="0" style="67" hidden="1" customWidth="1"/>
    <col min="6170" max="6176" width="9.7265625" style="67" customWidth="1"/>
    <col min="6177" max="6177" width="9.90625" style="67" customWidth="1"/>
    <col min="6178" max="6178" width="6.453125" style="67" customWidth="1"/>
    <col min="6179" max="6179" width="2.26953125" style="67" customWidth="1"/>
    <col min="6180" max="6186" width="0" style="67" hidden="1" customWidth="1"/>
    <col min="6187" max="6194" width="9.7265625" style="67" customWidth="1"/>
    <col min="6195" max="6195" width="6.54296875" style="67" customWidth="1"/>
    <col min="6196" max="6400" width="11.453125" style="67"/>
    <col min="6401" max="6401" width="10.54296875" style="67" customWidth="1"/>
    <col min="6402" max="6408" width="0" style="67" hidden="1" customWidth="1"/>
    <col min="6409" max="6415" width="9.7265625" style="67" customWidth="1"/>
    <col min="6416" max="6416" width="8.7265625" style="67" customWidth="1"/>
    <col min="6417" max="6417" width="6.26953125" style="67" customWidth="1"/>
    <col min="6418" max="6418" width="2.26953125" style="67" customWidth="1"/>
    <col min="6419" max="6425" width="0" style="67" hidden="1" customWidth="1"/>
    <col min="6426" max="6432" width="9.7265625" style="67" customWidth="1"/>
    <col min="6433" max="6433" width="9.90625" style="67" customWidth="1"/>
    <col min="6434" max="6434" width="6.453125" style="67" customWidth="1"/>
    <col min="6435" max="6435" width="2.26953125" style="67" customWidth="1"/>
    <col min="6436" max="6442" width="0" style="67" hidden="1" customWidth="1"/>
    <col min="6443" max="6450" width="9.7265625" style="67" customWidth="1"/>
    <col min="6451" max="6451" width="6.54296875" style="67" customWidth="1"/>
    <col min="6452" max="6656" width="11.453125" style="67"/>
    <col min="6657" max="6657" width="10.54296875" style="67" customWidth="1"/>
    <col min="6658" max="6664" width="0" style="67" hidden="1" customWidth="1"/>
    <col min="6665" max="6671" width="9.7265625" style="67" customWidth="1"/>
    <col min="6672" max="6672" width="8.7265625" style="67" customWidth="1"/>
    <col min="6673" max="6673" width="6.26953125" style="67" customWidth="1"/>
    <col min="6674" max="6674" width="2.26953125" style="67" customWidth="1"/>
    <col min="6675" max="6681" width="0" style="67" hidden="1" customWidth="1"/>
    <col min="6682" max="6688" width="9.7265625" style="67" customWidth="1"/>
    <col min="6689" max="6689" width="9.90625" style="67" customWidth="1"/>
    <col min="6690" max="6690" width="6.453125" style="67" customWidth="1"/>
    <col min="6691" max="6691" width="2.26953125" style="67" customWidth="1"/>
    <col min="6692" max="6698" width="0" style="67" hidden="1" customWidth="1"/>
    <col min="6699" max="6706" width="9.7265625" style="67" customWidth="1"/>
    <col min="6707" max="6707" width="6.54296875" style="67" customWidth="1"/>
    <col min="6708" max="6912" width="11.453125" style="67"/>
    <col min="6913" max="6913" width="10.54296875" style="67" customWidth="1"/>
    <col min="6914" max="6920" width="0" style="67" hidden="1" customWidth="1"/>
    <col min="6921" max="6927" width="9.7265625" style="67" customWidth="1"/>
    <col min="6928" max="6928" width="8.7265625" style="67" customWidth="1"/>
    <col min="6929" max="6929" width="6.26953125" style="67" customWidth="1"/>
    <col min="6930" max="6930" width="2.26953125" style="67" customWidth="1"/>
    <col min="6931" max="6937" width="0" style="67" hidden="1" customWidth="1"/>
    <col min="6938" max="6944" width="9.7265625" style="67" customWidth="1"/>
    <col min="6945" max="6945" width="9.90625" style="67" customWidth="1"/>
    <col min="6946" max="6946" width="6.453125" style="67" customWidth="1"/>
    <col min="6947" max="6947" width="2.26953125" style="67" customWidth="1"/>
    <col min="6948" max="6954" width="0" style="67" hidden="1" customWidth="1"/>
    <col min="6955" max="6962" width="9.7265625" style="67" customWidth="1"/>
    <col min="6963" max="6963" width="6.54296875" style="67" customWidth="1"/>
    <col min="6964" max="7168" width="11.453125" style="67"/>
    <col min="7169" max="7169" width="10.54296875" style="67" customWidth="1"/>
    <col min="7170" max="7176" width="0" style="67" hidden="1" customWidth="1"/>
    <col min="7177" max="7183" width="9.7265625" style="67" customWidth="1"/>
    <col min="7184" max="7184" width="8.7265625" style="67" customWidth="1"/>
    <col min="7185" max="7185" width="6.26953125" style="67" customWidth="1"/>
    <col min="7186" max="7186" width="2.26953125" style="67" customWidth="1"/>
    <col min="7187" max="7193" width="0" style="67" hidden="1" customWidth="1"/>
    <col min="7194" max="7200" width="9.7265625" style="67" customWidth="1"/>
    <col min="7201" max="7201" width="9.90625" style="67" customWidth="1"/>
    <col min="7202" max="7202" width="6.453125" style="67" customWidth="1"/>
    <col min="7203" max="7203" width="2.26953125" style="67" customWidth="1"/>
    <col min="7204" max="7210" width="0" style="67" hidden="1" customWidth="1"/>
    <col min="7211" max="7218" width="9.7265625" style="67" customWidth="1"/>
    <col min="7219" max="7219" width="6.54296875" style="67" customWidth="1"/>
    <col min="7220" max="7424" width="11.453125" style="67"/>
    <col min="7425" max="7425" width="10.54296875" style="67" customWidth="1"/>
    <col min="7426" max="7432" width="0" style="67" hidden="1" customWidth="1"/>
    <col min="7433" max="7439" width="9.7265625" style="67" customWidth="1"/>
    <col min="7440" max="7440" width="8.7265625" style="67" customWidth="1"/>
    <col min="7441" max="7441" width="6.26953125" style="67" customWidth="1"/>
    <col min="7442" max="7442" width="2.26953125" style="67" customWidth="1"/>
    <col min="7443" max="7449" width="0" style="67" hidden="1" customWidth="1"/>
    <col min="7450" max="7456" width="9.7265625" style="67" customWidth="1"/>
    <col min="7457" max="7457" width="9.90625" style="67" customWidth="1"/>
    <col min="7458" max="7458" width="6.453125" style="67" customWidth="1"/>
    <col min="7459" max="7459" width="2.26953125" style="67" customWidth="1"/>
    <col min="7460" max="7466" width="0" style="67" hidden="1" customWidth="1"/>
    <col min="7467" max="7474" width="9.7265625" style="67" customWidth="1"/>
    <col min="7475" max="7475" width="6.54296875" style="67" customWidth="1"/>
    <col min="7476" max="7680" width="11.453125" style="67"/>
    <col min="7681" max="7681" width="10.54296875" style="67" customWidth="1"/>
    <col min="7682" max="7688" width="0" style="67" hidden="1" customWidth="1"/>
    <col min="7689" max="7695" width="9.7265625" style="67" customWidth="1"/>
    <col min="7696" max="7696" width="8.7265625" style="67" customWidth="1"/>
    <col min="7697" max="7697" width="6.26953125" style="67" customWidth="1"/>
    <col min="7698" max="7698" width="2.26953125" style="67" customWidth="1"/>
    <col min="7699" max="7705" width="0" style="67" hidden="1" customWidth="1"/>
    <col min="7706" max="7712" width="9.7265625" style="67" customWidth="1"/>
    <col min="7713" max="7713" width="9.90625" style="67" customWidth="1"/>
    <col min="7714" max="7714" width="6.453125" style="67" customWidth="1"/>
    <col min="7715" max="7715" width="2.26953125" style="67" customWidth="1"/>
    <col min="7716" max="7722" width="0" style="67" hidden="1" customWidth="1"/>
    <col min="7723" max="7730" width="9.7265625" style="67" customWidth="1"/>
    <col min="7731" max="7731" width="6.54296875" style="67" customWidth="1"/>
    <col min="7732" max="7936" width="11.453125" style="67"/>
    <col min="7937" max="7937" width="10.54296875" style="67" customWidth="1"/>
    <col min="7938" max="7944" width="0" style="67" hidden="1" customWidth="1"/>
    <col min="7945" max="7951" width="9.7265625" style="67" customWidth="1"/>
    <col min="7952" max="7952" width="8.7265625" style="67" customWidth="1"/>
    <col min="7953" max="7953" width="6.26953125" style="67" customWidth="1"/>
    <col min="7954" max="7954" width="2.26953125" style="67" customWidth="1"/>
    <col min="7955" max="7961" width="0" style="67" hidden="1" customWidth="1"/>
    <col min="7962" max="7968" width="9.7265625" style="67" customWidth="1"/>
    <col min="7969" max="7969" width="9.90625" style="67" customWidth="1"/>
    <col min="7970" max="7970" width="6.453125" style="67" customWidth="1"/>
    <col min="7971" max="7971" width="2.26953125" style="67" customWidth="1"/>
    <col min="7972" max="7978" width="0" style="67" hidden="1" customWidth="1"/>
    <col min="7979" max="7986" width="9.7265625" style="67" customWidth="1"/>
    <col min="7987" max="7987" width="6.54296875" style="67" customWidth="1"/>
    <col min="7988" max="8192" width="11.453125" style="67"/>
    <col min="8193" max="8193" width="10.54296875" style="67" customWidth="1"/>
    <col min="8194" max="8200" width="0" style="67" hidden="1" customWidth="1"/>
    <col min="8201" max="8207" width="9.7265625" style="67" customWidth="1"/>
    <col min="8208" max="8208" width="8.7265625" style="67" customWidth="1"/>
    <col min="8209" max="8209" width="6.26953125" style="67" customWidth="1"/>
    <col min="8210" max="8210" width="2.26953125" style="67" customWidth="1"/>
    <col min="8211" max="8217" width="0" style="67" hidden="1" customWidth="1"/>
    <col min="8218" max="8224" width="9.7265625" style="67" customWidth="1"/>
    <col min="8225" max="8225" width="9.90625" style="67" customWidth="1"/>
    <col min="8226" max="8226" width="6.453125" style="67" customWidth="1"/>
    <col min="8227" max="8227" width="2.26953125" style="67" customWidth="1"/>
    <col min="8228" max="8234" width="0" style="67" hidden="1" customWidth="1"/>
    <col min="8235" max="8242" width="9.7265625" style="67" customWidth="1"/>
    <col min="8243" max="8243" width="6.54296875" style="67" customWidth="1"/>
    <col min="8244" max="8448" width="11.453125" style="67"/>
    <col min="8449" max="8449" width="10.54296875" style="67" customWidth="1"/>
    <col min="8450" max="8456" width="0" style="67" hidden="1" customWidth="1"/>
    <col min="8457" max="8463" width="9.7265625" style="67" customWidth="1"/>
    <col min="8464" max="8464" width="8.7265625" style="67" customWidth="1"/>
    <col min="8465" max="8465" width="6.26953125" style="67" customWidth="1"/>
    <col min="8466" max="8466" width="2.26953125" style="67" customWidth="1"/>
    <col min="8467" max="8473" width="0" style="67" hidden="1" customWidth="1"/>
    <col min="8474" max="8480" width="9.7265625" style="67" customWidth="1"/>
    <col min="8481" max="8481" width="9.90625" style="67" customWidth="1"/>
    <col min="8482" max="8482" width="6.453125" style="67" customWidth="1"/>
    <col min="8483" max="8483" width="2.26953125" style="67" customWidth="1"/>
    <col min="8484" max="8490" width="0" style="67" hidden="1" customWidth="1"/>
    <col min="8491" max="8498" width="9.7265625" style="67" customWidth="1"/>
    <col min="8499" max="8499" width="6.54296875" style="67" customWidth="1"/>
    <col min="8500" max="8704" width="11.453125" style="67"/>
    <col min="8705" max="8705" width="10.54296875" style="67" customWidth="1"/>
    <col min="8706" max="8712" width="0" style="67" hidden="1" customWidth="1"/>
    <col min="8713" max="8719" width="9.7265625" style="67" customWidth="1"/>
    <col min="8720" max="8720" width="8.7265625" style="67" customWidth="1"/>
    <col min="8721" max="8721" width="6.26953125" style="67" customWidth="1"/>
    <col min="8722" max="8722" width="2.26953125" style="67" customWidth="1"/>
    <col min="8723" max="8729" width="0" style="67" hidden="1" customWidth="1"/>
    <col min="8730" max="8736" width="9.7265625" style="67" customWidth="1"/>
    <col min="8737" max="8737" width="9.90625" style="67" customWidth="1"/>
    <col min="8738" max="8738" width="6.453125" style="67" customWidth="1"/>
    <col min="8739" max="8739" width="2.26953125" style="67" customWidth="1"/>
    <col min="8740" max="8746" width="0" style="67" hidden="1" customWidth="1"/>
    <col min="8747" max="8754" width="9.7265625" style="67" customWidth="1"/>
    <col min="8755" max="8755" width="6.54296875" style="67" customWidth="1"/>
    <col min="8756" max="8960" width="11.453125" style="67"/>
    <col min="8961" max="8961" width="10.54296875" style="67" customWidth="1"/>
    <col min="8962" max="8968" width="0" style="67" hidden="1" customWidth="1"/>
    <col min="8969" max="8975" width="9.7265625" style="67" customWidth="1"/>
    <col min="8976" max="8976" width="8.7265625" style="67" customWidth="1"/>
    <col min="8977" max="8977" width="6.26953125" style="67" customWidth="1"/>
    <col min="8978" max="8978" width="2.26953125" style="67" customWidth="1"/>
    <col min="8979" max="8985" width="0" style="67" hidden="1" customWidth="1"/>
    <col min="8986" max="8992" width="9.7265625" style="67" customWidth="1"/>
    <col min="8993" max="8993" width="9.90625" style="67" customWidth="1"/>
    <col min="8994" max="8994" width="6.453125" style="67" customWidth="1"/>
    <col min="8995" max="8995" width="2.26953125" style="67" customWidth="1"/>
    <col min="8996" max="9002" width="0" style="67" hidden="1" customWidth="1"/>
    <col min="9003" max="9010" width="9.7265625" style="67" customWidth="1"/>
    <col min="9011" max="9011" width="6.54296875" style="67" customWidth="1"/>
    <col min="9012" max="9216" width="11.453125" style="67"/>
    <col min="9217" max="9217" width="10.54296875" style="67" customWidth="1"/>
    <col min="9218" max="9224" width="0" style="67" hidden="1" customWidth="1"/>
    <col min="9225" max="9231" width="9.7265625" style="67" customWidth="1"/>
    <col min="9232" max="9232" width="8.7265625" style="67" customWidth="1"/>
    <col min="9233" max="9233" width="6.26953125" style="67" customWidth="1"/>
    <col min="9234" max="9234" width="2.26953125" style="67" customWidth="1"/>
    <col min="9235" max="9241" width="0" style="67" hidden="1" customWidth="1"/>
    <col min="9242" max="9248" width="9.7265625" style="67" customWidth="1"/>
    <col min="9249" max="9249" width="9.90625" style="67" customWidth="1"/>
    <col min="9250" max="9250" width="6.453125" style="67" customWidth="1"/>
    <col min="9251" max="9251" width="2.26953125" style="67" customWidth="1"/>
    <col min="9252" max="9258" width="0" style="67" hidden="1" customWidth="1"/>
    <col min="9259" max="9266" width="9.7265625" style="67" customWidth="1"/>
    <col min="9267" max="9267" width="6.54296875" style="67" customWidth="1"/>
    <col min="9268" max="9472" width="11.453125" style="67"/>
    <col min="9473" max="9473" width="10.54296875" style="67" customWidth="1"/>
    <col min="9474" max="9480" width="0" style="67" hidden="1" customWidth="1"/>
    <col min="9481" max="9487" width="9.7265625" style="67" customWidth="1"/>
    <col min="9488" max="9488" width="8.7265625" style="67" customWidth="1"/>
    <col min="9489" max="9489" width="6.26953125" style="67" customWidth="1"/>
    <col min="9490" max="9490" width="2.26953125" style="67" customWidth="1"/>
    <col min="9491" max="9497" width="0" style="67" hidden="1" customWidth="1"/>
    <col min="9498" max="9504" width="9.7265625" style="67" customWidth="1"/>
    <col min="9505" max="9505" width="9.90625" style="67" customWidth="1"/>
    <col min="9506" max="9506" width="6.453125" style="67" customWidth="1"/>
    <col min="9507" max="9507" width="2.26953125" style="67" customWidth="1"/>
    <col min="9508" max="9514" width="0" style="67" hidden="1" customWidth="1"/>
    <col min="9515" max="9522" width="9.7265625" style="67" customWidth="1"/>
    <col min="9523" max="9523" width="6.54296875" style="67" customWidth="1"/>
    <col min="9524" max="9728" width="11.453125" style="67"/>
    <col min="9729" max="9729" width="10.54296875" style="67" customWidth="1"/>
    <col min="9730" max="9736" width="0" style="67" hidden="1" customWidth="1"/>
    <col min="9737" max="9743" width="9.7265625" style="67" customWidth="1"/>
    <col min="9744" max="9744" width="8.7265625" style="67" customWidth="1"/>
    <col min="9745" max="9745" width="6.26953125" style="67" customWidth="1"/>
    <col min="9746" max="9746" width="2.26953125" style="67" customWidth="1"/>
    <col min="9747" max="9753" width="0" style="67" hidden="1" customWidth="1"/>
    <col min="9754" max="9760" width="9.7265625" style="67" customWidth="1"/>
    <col min="9761" max="9761" width="9.90625" style="67" customWidth="1"/>
    <col min="9762" max="9762" width="6.453125" style="67" customWidth="1"/>
    <col min="9763" max="9763" width="2.26953125" style="67" customWidth="1"/>
    <col min="9764" max="9770" width="0" style="67" hidden="1" customWidth="1"/>
    <col min="9771" max="9778" width="9.7265625" style="67" customWidth="1"/>
    <col min="9779" max="9779" width="6.54296875" style="67" customWidth="1"/>
    <col min="9780" max="9984" width="11.453125" style="67"/>
    <col min="9985" max="9985" width="10.54296875" style="67" customWidth="1"/>
    <col min="9986" max="9992" width="0" style="67" hidden="1" customWidth="1"/>
    <col min="9993" max="9999" width="9.7265625" style="67" customWidth="1"/>
    <col min="10000" max="10000" width="8.7265625" style="67" customWidth="1"/>
    <col min="10001" max="10001" width="6.26953125" style="67" customWidth="1"/>
    <col min="10002" max="10002" width="2.26953125" style="67" customWidth="1"/>
    <col min="10003" max="10009" width="0" style="67" hidden="1" customWidth="1"/>
    <col min="10010" max="10016" width="9.7265625" style="67" customWidth="1"/>
    <col min="10017" max="10017" width="9.90625" style="67" customWidth="1"/>
    <col min="10018" max="10018" width="6.453125" style="67" customWidth="1"/>
    <col min="10019" max="10019" width="2.26953125" style="67" customWidth="1"/>
    <col min="10020" max="10026" width="0" style="67" hidden="1" customWidth="1"/>
    <col min="10027" max="10034" width="9.7265625" style="67" customWidth="1"/>
    <col min="10035" max="10035" width="6.54296875" style="67" customWidth="1"/>
    <col min="10036" max="10240" width="11.453125" style="67"/>
    <col min="10241" max="10241" width="10.54296875" style="67" customWidth="1"/>
    <col min="10242" max="10248" width="0" style="67" hidden="1" customWidth="1"/>
    <col min="10249" max="10255" width="9.7265625" style="67" customWidth="1"/>
    <col min="10256" max="10256" width="8.7265625" style="67" customWidth="1"/>
    <col min="10257" max="10257" width="6.26953125" style="67" customWidth="1"/>
    <col min="10258" max="10258" width="2.26953125" style="67" customWidth="1"/>
    <col min="10259" max="10265" width="0" style="67" hidden="1" customWidth="1"/>
    <col min="10266" max="10272" width="9.7265625" style="67" customWidth="1"/>
    <col min="10273" max="10273" width="9.90625" style="67" customWidth="1"/>
    <col min="10274" max="10274" width="6.453125" style="67" customWidth="1"/>
    <col min="10275" max="10275" width="2.26953125" style="67" customWidth="1"/>
    <col min="10276" max="10282" width="0" style="67" hidden="1" customWidth="1"/>
    <col min="10283" max="10290" width="9.7265625" style="67" customWidth="1"/>
    <col min="10291" max="10291" width="6.54296875" style="67" customWidth="1"/>
    <col min="10292" max="10496" width="11.453125" style="67"/>
    <col min="10497" max="10497" width="10.54296875" style="67" customWidth="1"/>
    <col min="10498" max="10504" width="0" style="67" hidden="1" customWidth="1"/>
    <col min="10505" max="10511" width="9.7265625" style="67" customWidth="1"/>
    <col min="10512" max="10512" width="8.7265625" style="67" customWidth="1"/>
    <col min="10513" max="10513" width="6.26953125" style="67" customWidth="1"/>
    <col min="10514" max="10514" width="2.26953125" style="67" customWidth="1"/>
    <col min="10515" max="10521" width="0" style="67" hidden="1" customWidth="1"/>
    <col min="10522" max="10528" width="9.7265625" style="67" customWidth="1"/>
    <col min="10529" max="10529" width="9.90625" style="67" customWidth="1"/>
    <col min="10530" max="10530" width="6.453125" style="67" customWidth="1"/>
    <col min="10531" max="10531" width="2.26953125" style="67" customWidth="1"/>
    <col min="10532" max="10538" width="0" style="67" hidden="1" customWidth="1"/>
    <col min="10539" max="10546" width="9.7265625" style="67" customWidth="1"/>
    <col min="10547" max="10547" width="6.54296875" style="67" customWidth="1"/>
    <col min="10548" max="10752" width="11.453125" style="67"/>
    <col min="10753" max="10753" width="10.54296875" style="67" customWidth="1"/>
    <col min="10754" max="10760" width="0" style="67" hidden="1" customWidth="1"/>
    <col min="10761" max="10767" width="9.7265625" style="67" customWidth="1"/>
    <col min="10768" max="10768" width="8.7265625" style="67" customWidth="1"/>
    <col min="10769" max="10769" width="6.26953125" style="67" customWidth="1"/>
    <col min="10770" max="10770" width="2.26953125" style="67" customWidth="1"/>
    <col min="10771" max="10777" width="0" style="67" hidden="1" customWidth="1"/>
    <col min="10778" max="10784" width="9.7265625" style="67" customWidth="1"/>
    <col min="10785" max="10785" width="9.90625" style="67" customWidth="1"/>
    <col min="10786" max="10786" width="6.453125" style="67" customWidth="1"/>
    <col min="10787" max="10787" width="2.26953125" style="67" customWidth="1"/>
    <col min="10788" max="10794" width="0" style="67" hidden="1" customWidth="1"/>
    <col min="10795" max="10802" width="9.7265625" style="67" customWidth="1"/>
    <col min="10803" max="10803" width="6.54296875" style="67" customWidth="1"/>
    <col min="10804" max="11008" width="11.453125" style="67"/>
    <col min="11009" max="11009" width="10.54296875" style="67" customWidth="1"/>
    <col min="11010" max="11016" width="0" style="67" hidden="1" customWidth="1"/>
    <col min="11017" max="11023" width="9.7265625" style="67" customWidth="1"/>
    <col min="11024" max="11024" width="8.7265625" style="67" customWidth="1"/>
    <col min="11025" max="11025" width="6.26953125" style="67" customWidth="1"/>
    <col min="11026" max="11026" width="2.26953125" style="67" customWidth="1"/>
    <col min="11027" max="11033" width="0" style="67" hidden="1" customWidth="1"/>
    <col min="11034" max="11040" width="9.7265625" style="67" customWidth="1"/>
    <col min="11041" max="11041" width="9.90625" style="67" customWidth="1"/>
    <col min="11042" max="11042" width="6.453125" style="67" customWidth="1"/>
    <col min="11043" max="11043" width="2.26953125" style="67" customWidth="1"/>
    <col min="11044" max="11050" width="0" style="67" hidden="1" customWidth="1"/>
    <col min="11051" max="11058" width="9.7265625" style="67" customWidth="1"/>
    <col min="11059" max="11059" width="6.54296875" style="67" customWidth="1"/>
    <col min="11060" max="11264" width="11.453125" style="67"/>
    <col min="11265" max="11265" width="10.54296875" style="67" customWidth="1"/>
    <col min="11266" max="11272" width="0" style="67" hidden="1" customWidth="1"/>
    <col min="11273" max="11279" width="9.7265625" style="67" customWidth="1"/>
    <col min="11280" max="11280" width="8.7265625" style="67" customWidth="1"/>
    <col min="11281" max="11281" width="6.26953125" style="67" customWidth="1"/>
    <col min="11282" max="11282" width="2.26953125" style="67" customWidth="1"/>
    <col min="11283" max="11289" width="0" style="67" hidden="1" customWidth="1"/>
    <col min="11290" max="11296" width="9.7265625" style="67" customWidth="1"/>
    <col min="11297" max="11297" width="9.90625" style="67" customWidth="1"/>
    <col min="11298" max="11298" width="6.453125" style="67" customWidth="1"/>
    <col min="11299" max="11299" width="2.26953125" style="67" customWidth="1"/>
    <col min="11300" max="11306" width="0" style="67" hidden="1" customWidth="1"/>
    <col min="11307" max="11314" width="9.7265625" style="67" customWidth="1"/>
    <col min="11315" max="11315" width="6.54296875" style="67" customWidth="1"/>
    <col min="11316" max="11520" width="11.453125" style="67"/>
    <col min="11521" max="11521" width="10.54296875" style="67" customWidth="1"/>
    <col min="11522" max="11528" width="0" style="67" hidden="1" customWidth="1"/>
    <col min="11529" max="11535" width="9.7265625" style="67" customWidth="1"/>
    <col min="11536" max="11536" width="8.7265625" style="67" customWidth="1"/>
    <col min="11537" max="11537" width="6.26953125" style="67" customWidth="1"/>
    <col min="11538" max="11538" width="2.26953125" style="67" customWidth="1"/>
    <col min="11539" max="11545" width="0" style="67" hidden="1" customWidth="1"/>
    <col min="11546" max="11552" width="9.7265625" style="67" customWidth="1"/>
    <col min="11553" max="11553" width="9.90625" style="67" customWidth="1"/>
    <col min="11554" max="11554" width="6.453125" style="67" customWidth="1"/>
    <col min="11555" max="11555" width="2.26953125" style="67" customWidth="1"/>
    <col min="11556" max="11562" width="0" style="67" hidden="1" customWidth="1"/>
    <col min="11563" max="11570" width="9.7265625" style="67" customWidth="1"/>
    <col min="11571" max="11571" width="6.54296875" style="67" customWidth="1"/>
    <col min="11572" max="11776" width="11.453125" style="67"/>
    <col min="11777" max="11777" width="10.54296875" style="67" customWidth="1"/>
    <col min="11778" max="11784" width="0" style="67" hidden="1" customWidth="1"/>
    <col min="11785" max="11791" width="9.7265625" style="67" customWidth="1"/>
    <col min="11792" max="11792" width="8.7265625" style="67" customWidth="1"/>
    <col min="11793" max="11793" width="6.26953125" style="67" customWidth="1"/>
    <col min="11794" max="11794" width="2.26953125" style="67" customWidth="1"/>
    <col min="11795" max="11801" width="0" style="67" hidden="1" customWidth="1"/>
    <col min="11802" max="11808" width="9.7265625" style="67" customWidth="1"/>
    <col min="11809" max="11809" width="9.90625" style="67" customWidth="1"/>
    <col min="11810" max="11810" width="6.453125" style="67" customWidth="1"/>
    <col min="11811" max="11811" width="2.26953125" style="67" customWidth="1"/>
    <col min="11812" max="11818" width="0" style="67" hidden="1" customWidth="1"/>
    <col min="11819" max="11826" width="9.7265625" style="67" customWidth="1"/>
    <col min="11827" max="11827" width="6.54296875" style="67" customWidth="1"/>
    <col min="11828" max="12032" width="11.453125" style="67"/>
    <col min="12033" max="12033" width="10.54296875" style="67" customWidth="1"/>
    <col min="12034" max="12040" width="0" style="67" hidden="1" customWidth="1"/>
    <col min="12041" max="12047" width="9.7265625" style="67" customWidth="1"/>
    <col min="12048" max="12048" width="8.7265625" style="67" customWidth="1"/>
    <col min="12049" max="12049" width="6.26953125" style="67" customWidth="1"/>
    <col min="12050" max="12050" width="2.26953125" style="67" customWidth="1"/>
    <col min="12051" max="12057" width="0" style="67" hidden="1" customWidth="1"/>
    <col min="12058" max="12064" width="9.7265625" style="67" customWidth="1"/>
    <col min="12065" max="12065" width="9.90625" style="67" customWidth="1"/>
    <col min="12066" max="12066" width="6.453125" style="67" customWidth="1"/>
    <col min="12067" max="12067" width="2.26953125" style="67" customWidth="1"/>
    <col min="12068" max="12074" width="0" style="67" hidden="1" customWidth="1"/>
    <col min="12075" max="12082" width="9.7265625" style="67" customWidth="1"/>
    <col min="12083" max="12083" width="6.54296875" style="67" customWidth="1"/>
    <col min="12084" max="12288" width="11.453125" style="67"/>
    <col min="12289" max="12289" width="10.54296875" style="67" customWidth="1"/>
    <col min="12290" max="12296" width="0" style="67" hidden="1" customWidth="1"/>
    <col min="12297" max="12303" width="9.7265625" style="67" customWidth="1"/>
    <col min="12304" max="12304" width="8.7265625" style="67" customWidth="1"/>
    <col min="12305" max="12305" width="6.26953125" style="67" customWidth="1"/>
    <col min="12306" max="12306" width="2.26953125" style="67" customWidth="1"/>
    <col min="12307" max="12313" width="0" style="67" hidden="1" customWidth="1"/>
    <col min="12314" max="12320" width="9.7265625" style="67" customWidth="1"/>
    <col min="12321" max="12321" width="9.90625" style="67" customWidth="1"/>
    <col min="12322" max="12322" width="6.453125" style="67" customWidth="1"/>
    <col min="12323" max="12323" width="2.26953125" style="67" customWidth="1"/>
    <col min="12324" max="12330" width="0" style="67" hidden="1" customWidth="1"/>
    <col min="12331" max="12338" width="9.7265625" style="67" customWidth="1"/>
    <col min="12339" max="12339" width="6.54296875" style="67" customWidth="1"/>
    <col min="12340" max="12544" width="11.453125" style="67"/>
    <col min="12545" max="12545" width="10.54296875" style="67" customWidth="1"/>
    <col min="12546" max="12552" width="0" style="67" hidden="1" customWidth="1"/>
    <col min="12553" max="12559" width="9.7265625" style="67" customWidth="1"/>
    <col min="12560" max="12560" width="8.7265625" style="67" customWidth="1"/>
    <col min="12561" max="12561" width="6.26953125" style="67" customWidth="1"/>
    <col min="12562" max="12562" width="2.26953125" style="67" customWidth="1"/>
    <col min="12563" max="12569" width="0" style="67" hidden="1" customWidth="1"/>
    <col min="12570" max="12576" width="9.7265625" style="67" customWidth="1"/>
    <col min="12577" max="12577" width="9.90625" style="67" customWidth="1"/>
    <col min="12578" max="12578" width="6.453125" style="67" customWidth="1"/>
    <col min="12579" max="12579" width="2.26953125" style="67" customWidth="1"/>
    <col min="12580" max="12586" width="0" style="67" hidden="1" customWidth="1"/>
    <col min="12587" max="12594" width="9.7265625" style="67" customWidth="1"/>
    <col min="12595" max="12595" width="6.54296875" style="67" customWidth="1"/>
    <col min="12596" max="12800" width="11.453125" style="67"/>
    <col min="12801" max="12801" width="10.54296875" style="67" customWidth="1"/>
    <col min="12802" max="12808" width="0" style="67" hidden="1" customWidth="1"/>
    <col min="12809" max="12815" width="9.7265625" style="67" customWidth="1"/>
    <col min="12816" max="12816" width="8.7265625" style="67" customWidth="1"/>
    <col min="12817" max="12817" width="6.26953125" style="67" customWidth="1"/>
    <col min="12818" max="12818" width="2.26953125" style="67" customWidth="1"/>
    <col min="12819" max="12825" width="0" style="67" hidden="1" customWidth="1"/>
    <col min="12826" max="12832" width="9.7265625" style="67" customWidth="1"/>
    <col min="12833" max="12833" width="9.90625" style="67" customWidth="1"/>
    <col min="12834" max="12834" width="6.453125" style="67" customWidth="1"/>
    <col min="12835" max="12835" width="2.26953125" style="67" customWidth="1"/>
    <col min="12836" max="12842" width="0" style="67" hidden="1" customWidth="1"/>
    <col min="12843" max="12850" width="9.7265625" style="67" customWidth="1"/>
    <col min="12851" max="12851" width="6.54296875" style="67" customWidth="1"/>
    <col min="12852" max="13056" width="11.453125" style="67"/>
    <col min="13057" max="13057" width="10.54296875" style="67" customWidth="1"/>
    <col min="13058" max="13064" width="0" style="67" hidden="1" customWidth="1"/>
    <col min="13065" max="13071" width="9.7265625" style="67" customWidth="1"/>
    <col min="13072" max="13072" width="8.7265625" style="67" customWidth="1"/>
    <col min="13073" max="13073" width="6.26953125" style="67" customWidth="1"/>
    <col min="13074" max="13074" width="2.26953125" style="67" customWidth="1"/>
    <col min="13075" max="13081" width="0" style="67" hidden="1" customWidth="1"/>
    <col min="13082" max="13088" width="9.7265625" style="67" customWidth="1"/>
    <col min="13089" max="13089" width="9.90625" style="67" customWidth="1"/>
    <col min="13090" max="13090" width="6.453125" style="67" customWidth="1"/>
    <col min="13091" max="13091" width="2.26953125" style="67" customWidth="1"/>
    <col min="13092" max="13098" width="0" style="67" hidden="1" customWidth="1"/>
    <col min="13099" max="13106" width="9.7265625" style="67" customWidth="1"/>
    <col min="13107" max="13107" width="6.54296875" style="67" customWidth="1"/>
    <col min="13108" max="13312" width="11.453125" style="67"/>
    <col min="13313" max="13313" width="10.54296875" style="67" customWidth="1"/>
    <col min="13314" max="13320" width="0" style="67" hidden="1" customWidth="1"/>
    <col min="13321" max="13327" width="9.7265625" style="67" customWidth="1"/>
    <col min="13328" max="13328" width="8.7265625" style="67" customWidth="1"/>
    <col min="13329" max="13329" width="6.26953125" style="67" customWidth="1"/>
    <col min="13330" max="13330" width="2.26953125" style="67" customWidth="1"/>
    <col min="13331" max="13337" width="0" style="67" hidden="1" customWidth="1"/>
    <col min="13338" max="13344" width="9.7265625" style="67" customWidth="1"/>
    <col min="13345" max="13345" width="9.90625" style="67" customWidth="1"/>
    <col min="13346" max="13346" width="6.453125" style="67" customWidth="1"/>
    <col min="13347" max="13347" width="2.26953125" style="67" customWidth="1"/>
    <col min="13348" max="13354" width="0" style="67" hidden="1" customWidth="1"/>
    <col min="13355" max="13362" width="9.7265625" style="67" customWidth="1"/>
    <col min="13363" max="13363" width="6.54296875" style="67" customWidth="1"/>
    <col min="13364" max="13568" width="11.453125" style="67"/>
    <col min="13569" max="13569" width="10.54296875" style="67" customWidth="1"/>
    <col min="13570" max="13576" width="0" style="67" hidden="1" customWidth="1"/>
    <col min="13577" max="13583" width="9.7265625" style="67" customWidth="1"/>
    <col min="13584" max="13584" width="8.7265625" style="67" customWidth="1"/>
    <col min="13585" max="13585" width="6.26953125" style="67" customWidth="1"/>
    <col min="13586" max="13586" width="2.26953125" style="67" customWidth="1"/>
    <col min="13587" max="13593" width="0" style="67" hidden="1" customWidth="1"/>
    <col min="13594" max="13600" width="9.7265625" style="67" customWidth="1"/>
    <col min="13601" max="13601" width="9.90625" style="67" customWidth="1"/>
    <col min="13602" max="13602" width="6.453125" style="67" customWidth="1"/>
    <col min="13603" max="13603" width="2.26953125" style="67" customWidth="1"/>
    <col min="13604" max="13610" width="0" style="67" hidden="1" customWidth="1"/>
    <col min="13611" max="13618" width="9.7265625" style="67" customWidth="1"/>
    <col min="13619" max="13619" width="6.54296875" style="67" customWidth="1"/>
    <col min="13620" max="13824" width="11.453125" style="67"/>
    <col min="13825" max="13825" width="10.54296875" style="67" customWidth="1"/>
    <col min="13826" max="13832" width="0" style="67" hidden="1" customWidth="1"/>
    <col min="13833" max="13839" width="9.7265625" style="67" customWidth="1"/>
    <col min="13840" max="13840" width="8.7265625" style="67" customWidth="1"/>
    <col min="13841" max="13841" width="6.26953125" style="67" customWidth="1"/>
    <col min="13842" max="13842" width="2.26953125" style="67" customWidth="1"/>
    <col min="13843" max="13849" width="0" style="67" hidden="1" customWidth="1"/>
    <col min="13850" max="13856" width="9.7265625" style="67" customWidth="1"/>
    <col min="13857" max="13857" width="9.90625" style="67" customWidth="1"/>
    <col min="13858" max="13858" width="6.453125" style="67" customWidth="1"/>
    <col min="13859" max="13859" width="2.26953125" style="67" customWidth="1"/>
    <col min="13860" max="13866" width="0" style="67" hidden="1" customWidth="1"/>
    <col min="13867" max="13874" width="9.7265625" style="67" customWidth="1"/>
    <col min="13875" max="13875" width="6.54296875" style="67" customWidth="1"/>
    <col min="13876" max="14080" width="11.453125" style="67"/>
    <col min="14081" max="14081" width="10.54296875" style="67" customWidth="1"/>
    <col min="14082" max="14088" width="0" style="67" hidden="1" customWidth="1"/>
    <col min="14089" max="14095" width="9.7265625" style="67" customWidth="1"/>
    <col min="14096" max="14096" width="8.7265625" style="67" customWidth="1"/>
    <col min="14097" max="14097" width="6.26953125" style="67" customWidth="1"/>
    <col min="14098" max="14098" width="2.26953125" style="67" customWidth="1"/>
    <col min="14099" max="14105" width="0" style="67" hidden="1" customWidth="1"/>
    <col min="14106" max="14112" width="9.7265625" style="67" customWidth="1"/>
    <col min="14113" max="14113" width="9.90625" style="67" customWidth="1"/>
    <col min="14114" max="14114" width="6.453125" style="67" customWidth="1"/>
    <col min="14115" max="14115" width="2.26953125" style="67" customWidth="1"/>
    <col min="14116" max="14122" width="0" style="67" hidden="1" customWidth="1"/>
    <col min="14123" max="14130" width="9.7265625" style="67" customWidth="1"/>
    <col min="14131" max="14131" width="6.54296875" style="67" customWidth="1"/>
    <col min="14132" max="14336" width="11.453125" style="67"/>
    <col min="14337" max="14337" width="10.54296875" style="67" customWidth="1"/>
    <col min="14338" max="14344" width="0" style="67" hidden="1" customWidth="1"/>
    <col min="14345" max="14351" width="9.7265625" style="67" customWidth="1"/>
    <col min="14352" max="14352" width="8.7265625" style="67" customWidth="1"/>
    <col min="14353" max="14353" width="6.26953125" style="67" customWidth="1"/>
    <col min="14354" max="14354" width="2.26953125" style="67" customWidth="1"/>
    <col min="14355" max="14361" width="0" style="67" hidden="1" customWidth="1"/>
    <col min="14362" max="14368" width="9.7265625" style="67" customWidth="1"/>
    <col min="14369" max="14369" width="9.90625" style="67" customWidth="1"/>
    <col min="14370" max="14370" width="6.453125" style="67" customWidth="1"/>
    <col min="14371" max="14371" width="2.26953125" style="67" customWidth="1"/>
    <col min="14372" max="14378" width="0" style="67" hidden="1" customWidth="1"/>
    <col min="14379" max="14386" width="9.7265625" style="67" customWidth="1"/>
    <col min="14387" max="14387" width="6.54296875" style="67" customWidth="1"/>
    <col min="14388" max="14592" width="11.453125" style="67"/>
    <col min="14593" max="14593" width="10.54296875" style="67" customWidth="1"/>
    <col min="14594" max="14600" width="0" style="67" hidden="1" customWidth="1"/>
    <col min="14601" max="14607" width="9.7265625" style="67" customWidth="1"/>
    <col min="14608" max="14608" width="8.7265625" style="67" customWidth="1"/>
    <col min="14609" max="14609" width="6.26953125" style="67" customWidth="1"/>
    <col min="14610" max="14610" width="2.26953125" style="67" customWidth="1"/>
    <col min="14611" max="14617" width="0" style="67" hidden="1" customWidth="1"/>
    <col min="14618" max="14624" width="9.7265625" style="67" customWidth="1"/>
    <col min="14625" max="14625" width="9.90625" style="67" customWidth="1"/>
    <col min="14626" max="14626" width="6.453125" style="67" customWidth="1"/>
    <col min="14627" max="14627" width="2.26953125" style="67" customWidth="1"/>
    <col min="14628" max="14634" width="0" style="67" hidden="1" customWidth="1"/>
    <col min="14635" max="14642" width="9.7265625" style="67" customWidth="1"/>
    <col min="14643" max="14643" width="6.54296875" style="67" customWidth="1"/>
    <col min="14644" max="14848" width="11.453125" style="67"/>
    <col min="14849" max="14849" width="10.54296875" style="67" customWidth="1"/>
    <col min="14850" max="14856" width="0" style="67" hidden="1" customWidth="1"/>
    <col min="14857" max="14863" width="9.7265625" style="67" customWidth="1"/>
    <col min="14864" max="14864" width="8.7265625" style="67" customWidth="1"/>
    <col min="14865" max="14865" width="6.26953125" style="67" customWidth="1"/>
    <col min="14866" max="14866" width="2.26953125" style="67" customWidth="1"/>
    <col min="14867" max="14873" width="0" style="67" hidden="1" customWidth="1"/>
    <col min="14874" max="14880" width="9.7265625" style="67" customWidth="1"/>
    <col min="14881" max="14881" width="9.90625" style="67" customWidth="1"/>
    <col min="14882" max="14882" width="6.453125" style="67" customWidth="1"/>
    <col min="14883" max="14883" width="2.26953125" style="67" customWidth="1"/>
    <col min="14884" max="14890" width="0" style="67" hidden="1" customWidth="1"/>
    <col min="14891" max="14898" width="9.7265625" style="67" customWidth="1"/>
    <col min="14899" max="14899" width="6.54296875" style="67" customWidth="1"/>
    <col min="14900" max="15104" width="11.453125" style="67"/>
    <col min="15105" max="15105" width="10.54296875" style="67" customWidth="1"/>
    <col min="15106" max="15112" width="0" style="67" hidden="1" customWidth="1"/>
    <col min="15113" max="15119" width="9.7265625" style="67" customWidth="1"/>
    <col min="15120" max="15120" width="8.7265625" style="67" customWidth="1"/>
    <col min="15121" max="15121" width="6.26953125" style="67" customWidth="1"/>
    <col min="15122" max="15122" width="2.26953125" style="67" customWidth="1"/>
    <col min="15123" max="15129" width="0" style="67" hidden="1" customWidth="1"/>
    <col min="15130" max="15136" width="9.7265625" style="67" customWidth="1"/>
    <col min="15137" max="15137" width="9.90625" style="67" customWidth="1"/>
    <col min="15138" max="15138" width="6.453125" style="67" customWidth="1"/>
    <col min="15139" max="15139" width="2.26953125" style="67" customWidth="1"/>
    <col min="15140" max="15146" width="0" style="67" hidden="1" customWidth="1"/>
    <col min="15147" max="15154" width="9.7265625" style="67" customWidth="1"/>
    <col min="15155" max="15155" width="6.54296875" style="67" customWidth="1"/>
    <col min="15156" max="15360" width="11.453125" style="67"/>
    <col min="15361" max="15361" width="10.54296875" style="67" customWidth="1"/>
    <col min="15362" max="15368" width="0" style="67" hidden="1" customWidth="1"/>
    <col min="15369" max="15375" width="9.7265625" style="67" customWidth="1"/>
    <col min="15376" max="15376" width="8.7265625" style="67" customWidth="1"/>
    <col min="15377" max="15377" width="6.26953125" style="67" customWidth="1"/>
    <col min="15378" max="15378" width="2.26953125" style="67" customWidth="1"/>
    <col min="15379" max="15385" width="0" style="67" hidden="1" customWidth="1"/>
    <col min="15386" max="15392" width="9.7265625" style="67" customWidth="1"/>
    <col min="15393" max="15393" width="9.90625" style="67" customWidth="1"/>
    <col min="15394" max="15394" width="6.453125" style="67" customWidth="1"/>
    <col min="15395" max="15395" width="2.26953125" style="67" customWidth="1"/>
    <col min="15396" max="15402" width="0" style="67" hidden="1" customWidth="1"/>
    <col min="15403" max="15410" width="9.7265625" style="67" customWidth="1"/>
    <col min="15411" max="15411" width="6.54296875" style="67" customWidth="1"/>
    <col min="15412" max="15616" width="11.453125" style="67"/>
    <col min="15617" max="15617" width="10.54296875" style="67" customWidth="1"/>
    <col min="15618" max="15624" width="0" style="67" hidden="1" customWidth="1"/>
    <col min="15625" max="15631" width="9.7265625" style="67" customWidth="1"/>
    <col min="15632" max="15632" width="8.7265625" style="67" customWidth="1"/>
    <col min="15633" max="15633" width="6.26953125" style="67" customWidth="1"/>
    <col min="15634" max="15634" width="2.26953125" style="67" customWidth="1"/>
    <col min="15635" max="15641" width="0" style="67" hidden="1" customWidth="1"/>
    <col min="15642" max="15648" width="9.7265625" style="67" customWidth="1"/>
    <col min="15649" max="15649" width="9.90625" style="67" customWidth="1"/>
    <col min="15650" max="15650" width="6.453125" style="67" customWidth="1"/>
    <col min="15651" max="15651" width="2.26953125" style="67" customWidth="1"/>
    <col min="15652" max="15658" width="0" style="67" hidden="1" customWidth="1"/>
    <col min="15659" max="15666" width="9.7265625" style="67" customWidth="1"/>
    <col min="15667" max="15667" width="6.54296875" style="67" customWidth="1"/>
    <col min="15668" max="15872" width="11.453125" style="67"/>
    <col min="15873" max="15873" width="10.54296875" style="67" customWidth="1"/>
    <col min="15874" max="15880" width="0" style="67" hidden="1" customWidth="1"/>
    <col min="15881" max="15887" width="9.7265625" style="67" customWidth="1"/>
    <col min="15888" max="15888" width="8.7265625" style="67" customWidth="1"/>
    <col min="15889" max="15889" width="6.26953125" style="67" customWidth="1"/>
    <col min="15890" max="15890" width="2.26953125" style="67" customWidth="1"/>
    <col min="15891" max="15897" width="0" style="67" hidden="1" customWidth="1"/>
    <col min="15898" max="15904" width="9.7265625" style="67" customWidth="1"/>
    <col min="15905" max="15905" width="9.90625" style="67" customWidth="1"/>
    <col min="15906" max="15906" width="6.453125" style="67" customWidth="1"/>
    <col min="15907" max="15907" width="2.26953125" style="67" customWidth="1"/>
    <col min="15908" max="15914" width="0" style="67" hidden="1" customWidth="1"/>
    <col min="15915" max="15922" width="9.7265625" style="67" customWidth="1"/>
    <col min="15923" max="15923" width="6.54296875" style="67" customWidth="1"/>
    <col min="15924" max="16128" width="11.453125" style="67"/>
    <col min="16129" max="16129" width="10.54296875" style="67" customWidth="1"/>
    <col min="16130" max="16136" width="0" style="67" hidden="1" customWidth="1"/>
    <col min="16137" max="16143" width="9.7265625" style="67" customWidth="1"/>
    <col min="16144" max="16144" width="8.7265625" style="67" customWidth="1"/>
    <col min="16145" max="16145" width="6.26953125" style="67" customWidth="1"/>
    <col min="16146" max="16146" width="2.26953125" style="67" customWidth="1"/>
    <col min="16147" max="16153" width="0" style="67" hidden="1" customWidth="1"/>
    <col min="16154" max="16160" width="9.7265625" style="67" customWidth="1"/>
    <col min="16161" max="16161" width="9.90625" style="67" customWidth="1"/>
    <col min="16162" max="16162" width="6.453125" style="67" customWidth="1"/>
    <col min="16163" max="16163" width="2.26953125" style="67" customWidth="1"/>
    <col min="16164" max="16170" width="0" style="67" hidden="1" customWidth="1"/>
    <col min="16171" max="16178" width="9.7265625" style="67" customWidth="1"/>
    <col min="16179" max="16179" width="6.54296875" style="67" customWidth="1"/>
    <col min="16180" max="16384" width="11.453125" style="67"/>
  </cols>
  <sheetData>
    <row r="1" spans="1:51" ht="14" x14ac:dyDescent="0.3">
      <c r="A1" s="6" t="s">
        <v>67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1" ht="14" x14ac:dyDescent="0.3">
      <c r="A2" s="6" t="s">
        <v>68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</row>
    <row r="4" spans="1:51" x14ac:dyDescent="0.25">
      <c r="A4" s="116"/>
      <c r="B4" s="338" t="s">
        <v>69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116"/>
      <c r="S4" s="338" t="s">
        <v>70</v>
      </c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116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</row>
    <row r="5" spans="1:51" x14ac:dyDescent="0.25">
      <c r="A5" s="118"/>
      <c r="B5" s="339" t="s">
        <v>71</v>
      </c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11"/>
      <c r="S5" s="339" t="s">
        <v>72</v>
      </c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119"/>
      <c r="AJ5" s="339" t="s">
        <v>35</v>
      </c>
      <c r="AK5" s="339"/>
      <c r="AL5" s="339"/>
      <c r="AM5" s="339"/>
      <c r="AN5" s="339"/>
      <c r="AO5" s="339"/>
      <c r="AP5" s="339"/>
      <c r="AQ5" s="339"/>
      <c r="AR5" s="339"/>
      <c r="AS5" s="339"/>
      <c r="AT5" s="339"/>
      <c r="AU5" s="339"/>
      <c r="AV5" s="339"/>
      <c r="AW5" s="339"/>
      <c r="AX5" s="339"/>
      <c r="AY5" s="339"/>
    </row>
    <row r="6" spans="1:51" x14ac:dyDescent="0.25">
      <c r="A6" s="120"/>
      <c r="B6" s="121"/>
      <c r="Q6" s="122"/>
      <c r="R6" s="123"/>
      <c r="S6" s="124"/>
      <c r="T6" s="125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23"/>
      <c r="AI6" s="123"/>
    </row>
    <row r="7" spans="1:51" ht="23.5" x14ac:dyDescent="0.3">
      <c r="A7" s="126"/>
      <c r="B7" s="127">
        <v>2003</v>
      </c>
      <c r="C7" s="128">
        <v>2004</v>
      </c>
      <c r="D7" s="128">
        <v>2005</v>
      </c>
      <c r="E7" s="128">
        <v>2008</v>
      </c>
      <c r="F7" s="128">
        <v>2009</v>
      </c>
      <c r="G7" s="128">
        <v>2010</v>
      </c>
      <c r="H7" s="129">
        <v>2011</v>
      </c>
      <c r="I7" s="129">
        <v>2012</v>
      </c>
      <c r="J7" s="129">
        <v>2013</v>
      </c>
      <c r="K7" s="129">
        <v>2014</v>
      </c>
      <c r="L7" s="129">
        <v>2015</v>
      </c>
      <c r="M7" s="129">
        <v>2016</v>
      </c>
      <c r="N7" s="129">
        <v>2017</v>
      </c>
      <c r="O7" s="129">
        <v>2018</v>
      </c>
      <c r="P7" s="129">
        <v>2019</v>
      </c>
      <c r="Q7" s="130" t="s">
        <v>73</v>
      </c>
      <c r="R7" s="70"/>
      <c r="S7" s="131">
        <v>2003</v>
      </c>
      <c r="T7" s="128">
        <v>2004</v>
      </c>
      <c r="U7" s="128">
        <v>2005</v>
      </c>
      <c r="V7" s="128">
        <v>2008</v>
      </c>
      <c r="W7" s="128">
        <v>2009</v>
      </c>
      <c r="X7" s="128">
        <v>2010</v>
      </c>
      <c r="Y7" s="129">
        <v>2011</v>
      </c>
      <c r="Z7" s="129">
        <v>2012</v>
      </c>
      <c r="AA7" s="129">
        <v>2013</v>
      </c>
      <c r="AB7" s="129">
        <v>2014</v>
      </c>
      <c r="AC7" s="129">
        <v>2015</v>
      </c>
      <c r="AD7" s="129">
        <v>2016</v>
      </c>
      <c r="AE7" s="129">
        <v>2017</v>
      </c>
      <c r="AF7" s="129">
        <v>2018</v>
      </c>
      <c r="AG7" s="129">
        <v>2019</v>
      </c>
      <c r="AH7" s="130" t="s">
        <v>73</v>
      </c>
      <c r="AI7" s="132"/>
      <c r="AJ7" s="133">
        <v>2003</v>
      </c>
      <c r="AK7" s="134">
        <v>2004</v>
      </c>
      <c r="AL7" s="134">
        <v>2005</v>
      </c>
      <c r="AM7" s="134">
        <v>2008</v>
      </c>
      <c r="AN7" s="128">
        <v>2009</v>
      </c>
      <c r="AO7" s="128">
        <v>2010</v>
      </c>
      <c r="AP7" s="129">
        <v>2011</v>
      </c>
      <c r="AQ7" s="129">
        <v>2012</v>
      </c>
      <c r="AR7" s="129">
        <v>2013</v>
      </c>
      <c r="AS7" s="129">
        <v>2014</v>
      </c>
      <c r="AT7" s="129">
        <v>2015</v>
      </c>
      <c r="AU7" s="129">
        <v>2016</v>
      </c>
      <c r="AV7" s="129">
        <v>2017</v>
      </c>
      <c r="AW7" s="129">
        <v>2018</v>
      </c>
      <c r="AX7" s="129">
        <v>2019</v>
      </c>
      <c r="AY7" s="130" t="s">
        <v>73</v>
      </c>
    </row>
    <row r="8" spans="1:51" x14ac:dyDescent="0.25">
      <c r="A8" s="27"/>
      <c r="B8" s="13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61"/>
    </row>
    <row r="9" spans="1:51" x14ac:dyDescent="0.25">
      <c r="A9" s="27" t="s">
        <v>74</v>
      </c>
      <c r="B9" s="32">
        <v>321098</v>
      </c>
      <c r="C9" s="32">
        <v>314974</v>
      </c>
      <c r="D9" s="32">
        <v>329048</v>
      </c>
      <c r="E9" s="32">
        <v>383471</v>
      </c>
      <c r="F9" s="32">
        <v>202805</v>
      </c>
      <c r="G9" s="137">
        <v>225775</v>
      </c>
      <c r="H9" s="137">
        <v>218420</v>
      </c>
      <c r="I9" s="137">
        <v>229590</v>
      </c>
      <c r="J9" s="137">
        <v>187363</v>
      </c>
      <c r="K9" s="137">
        <v>161416</v>
      </c>
      <c r="L9" s="137">
        <v>153901</v>
      </c>
      <c r="M9" s="137">
        <v>167914</v>
      </c>
      <c r="N9" s="137">
        <v>174521</v>
      </c>
      <c r="O9" s="137">
        <v>194398</v>
      </c>
      <c r="P9" s="137">
        <v>200475</v>
      </c>
      <c r="Q9" s="138">
        <f>(P9-O9)/O9</f>
        <v>3.1260609677054289E-2</v>
      </c>
      <c r="R9" s="139"/>
      <c r="S9" s="32">
        <f>AJ9-B9</f>
        <v>446262</v>
      </c>
      <c r="T9" s="32">
        <f>AK9-C9</f>
        <v>457295</v>
      </c>
      <c r="U9" s="32">
        <f>AL9-D9</f>
        <v>511302</v>
      </c>
      <c r="V9" s="32">
        <f>AM9-E9</f>
        <v>1687812</v>
      </c>
      <c r="W9" s="32">
        <v>509309</v>
      </c>
      <c r="X9" s="32">
        <v>511532</v>
      </c>
      <c r="Y9" s="137">
        <f t="shared" ref="Y9:AG22" si="0">AP9-H9</f>
        <v>606995</v>
      </c>
      <c r="Z9" s="137">
        <f t="shared" si="0"/>
        <v>609377</v>
      </c>
      <c r="AA9" s="137">
        <f t="shared" si="0"/>
        <v>531049</v>
      </c>
      <c r="AB9" s="137">
        <f t="shared" si="0"/>
        <v>508715</v>
      </c>
      <c r="AC9" s="137">
        <f t="shared" si="0"/>
        <v>500792</v>
      </c>
      <c r="AD9" s="137">
        <f t="shared" si="0"/>
        <v>573864</v>
      </c>
      <c r="AE9" s="137">
        <f t="shared" si="0"/>
        <v>639623</v>
      </c>
      <c r="AF9" s="137">
        <f t="shared" si="0"/>
        <v>709793</v>
      </c>
      <c r="AG9" s="137">
        <f t="shared" si="0"/>
        <v>745728</v>
      </c>
      <c r="AH9" s="138">
        <f>(AG9-AF9)/AF9</f>
        <v>5.0627436449781835E-2</v>
      </c>
      <c r="AI9" s="139"/>
      <c r="AJ9" s="140">
        <v>767360</v>
      </c>
      <c r="AK9" s="140">
        <v>772269</v>
      </c>
      <c r="AL9" s="140">
        <v>840350</v>
      </c>
      <c r="AM9" s="140">
        <v>2071283</v>
      </c>
      <c r="AN9" s="140">
        <f>F9+W9</f>
        <v>712114</v>
      </c>
      <c r="AO9" s="140">
        <v>737307</v>
      </c>
      <c r="AP9" s="137">
        <v>825415</v>
      </c>
      <c r="AQ9" s="137">
        <v>838967</v>
      </c>
      <c r="AR9" s="137">
        <v>718412</v>
      </c>
      <c r="AS9" s="137">
        <v>670131</v>
      </c>
      <c r="AT9" s="137">
        <v>654693</v>
      </c>
      <c r="AU9" s="137">
        <v>741778</v>
      </c>
      <c r="AV9" s="137">
        <v>814144</v>
      </c>
      <c r="AW9" s="137">
        <v>904191</v>
      </c>
      <c r="AX9" s="137">
        <v>946203</v>
      </c>
      <c r="AY9" s="138">
        <f>(AX9-AW9)/AW9</f>
        <v>4.6463634342743955E-2</v>
      </c>
    </row>
    <row r="10" spans="1:51" x14ac:dyDescent="0.25">
      <c r="A10" s="141" t="s">
        <v>75</v>
      </c>
      <c r="B10" s="37">
        <v>352940</v>
      </c>
      <c r="C10" s="37">
        <v>360280</v>
      </c>
      <c r="D10" s="37">
        <v>371344</v>
      </c>
      <c r="E10" s="37">
        <v>416060</v>
      </c>
      <c r="F10" s="37">
        <v>250979</v>
      </c>
      <c r="G10" s="142">
        <v>266646</v>
      </c>
      <c r="H10" s="142">
        <v>250181</v>
      </c>
      <c r="I10" s="142">
        <v>231302</v>
      </c>
      <c r="J10" s="142">
        <v>165863</v>
      </c>
      <c r="K10" s="142">
        <v>170213</v>
      </c>
      <c r="L10" s="142">
        <v>165757</v>
      </c>
      <c r="M10" s="142">
        <v>189064</v>
      </c>
      <c r="N10" s="142">
        <v>183285</v>
      </c>
      <c r="O10" s="142">
        <v>202527</v>
      </c>
      <c r="P10" s="142">
        <v>207271</v>
      </c>
      <c r="Q10" s="138">
        <f t="shared" ref="Q10:Q20" si="1">(P10-O10)/O10</f>
        <v>2.3424037288855313E-2</v>
      </c>
      <c r="R10" s="143"/>
      <c r="S10" s="37">
        <f t="shared" ref="S10:V22" si="2">AJ10-B10</f>
        <v>470649</v>
      </c>
      <c r="T10" s="37">
        <f t="shared" si="2"/>
        <v>534784</v>
      </c>
      <c r="U10" s="37">
        <f t="shared" si="2"/>
        <v>583686</v>
      </c>
      <c r="V10" s="37">
        <f t="shared" si="2"/>
        <v>1828302</v>
      </c>
      <c r="W10" s="37">
        <v>570446</v>
      </c>
      <c r="X10" s="37">
        <v>587409</v>
      </c>
      <c r="Y10" s="142">
        <f t="shared" si="0"/>
        <v>637782</v>
      </c>
      <c r="Z10" s="142">
        <f t="shared" si="0"/>
        <v>552281</v>
      </c>
      <c r="AA10" s="142">
        <f t="shared" si="0"/>
        <v>523428</v>
      </c>
      <c r="AB10" s="142">
        <f t="shared" si="0"/>
        <v>515342</v>
      </c>
      <c r="AC10" s="142">
        <f t="shared" si="0"/>
        <v>518720</v>
      </c>
      <c r="AD10" s="142">
        <f t="shared" si="0"/>
        <v>611609</v>
      </c>
      <c r="AE10" s="142">
        <f t="shared" si="0"/>
        <v>640519</v>
      </c>
      <c r="AF10" s="142">
        <f t="shared" si="0"/>
        <v>702181</v>
      </c>
      <c r="AG10" s="137">
        <f>AX10-P10</f>
        <v>735313</v>
      </c>
      <c r="AH10" s="138">
        <f t="shared" ref="AH10:AH22" si="3">(AG10-AF10)/AF10</f>
        <v>4.7184415414259287E-2</v>
      </c>
      <c r="AI10" s="143"/>
      <c r="AJ10" s="144">
        <v>823589</v>
      </c>
      <c r="AK10" s="144">
        <v>895064</v>
      </c>
      <c r="AL10" s="144">
        <v>955030</v>
      </c>
      <c r="AM10" s="144">
        <v>2244362</v>
      </c>
      <c r="AN10" s="144">
        <f t="shared" ref="AN10:AN20" si="4">F10+W10</f>
        <v>821425</v>
      </c>
      <c r="AO10" s="144">
        <v>854055</v>
      </c>
      <c r="AP10" s="142">
        <v>887963</v>
      </c>
      <c r="AQ10" s="142">
        <v>783583</v>
      </c>
      <c r="AR10" s="142">
        <v>689291</v>
      </c>
      <c r="AS10" s="142">
        <v>685555</v>
      </c>
      <c r="AT10" s="142">
        <v>684477</v>
      </c>
      <c r="AU10" s="142">
        <v>800673</v>
      </c>
      <c r="AV10" s="142">
        <v>823804</v>
      </c>
      <c r="AW10" s="142">
        <v>904708</v>
      </c>
      <c r="AX10" s="142">
        <v>942584</v>
      </c>
      <c r="AY10" s="138">
        <f t="shared" ref="AY10:AY22" si="5">(AX10-AW10)/AW10</f>
        <v>4.1865441667366707E-2</v>
      </c>
    </row>
    <row r="11" spans="1:51" x14ac:dyDescent="0.25">
      <c r="A11" s="27" t="s">
        <v>76</v>
      </c>
      <c r="B11" s="32">
        <v>366276</v>
      </c>
      <c r="C11" s="32">
        <v>395562</v>
      </c>
      <c r="D11" s="32">
        <v>377624</v>
      </c>
      <c r="E11" s="32">
        <v>348482</v>
      </c>
      <c r="F11" s="32">
        <v>278617</v>
      </c>
      <c r="G11" s="137">
        <v>295417</v>
      </c>
      <c r="H11" s="137">
        <v>281975</v>
      </c>
      <c r="I11" s="137">
        <v>242971</v>
      </c>
      <c r="J11" s="137">
        <v>162461</v>
      </c>
      <c r="K11" s="137">
        <v>196857</v>
      </c>
      <c r="L11" s="137">
        <v>194816</v>
      </c>
      <c r="M11" s="137">
        <v>199931</v>
      </c>
      <c r="N11" s="137">
        <v>219878</v>
      </c>
      <c r="O11" s="137">
        <v>222658</v>
      </c>
      <c r="P11" s="137">
        <v>228159</v>
      </c>
      <c r="Q11" s="138">
        <f t="shared" si="1"/>
        <v>2.4706051433139614E-2</v>
      </c>
      <c r="R11" s="139"/>
      <c r="S11" s="32">
        <f t="shared" si="2"/>
        <v>516060</v>
      </c>
      <c r="T11" s="32">
        <f t="shared" si="2"/>
        <v>604831</v>
      </c>
      <c r="U11" s="32">
        <f t="shared" si="2"/>
        <v>708976</v>
      </c>
      <c r="V11" s="32">
        <f t="shared" si="2"/>
        <v>2270803</v>
      </c>
      <c r="W11" s="32">
        <v>664412</v>
      </c>
      <c r="X11" s="32">
        <v>712256</v>
      </c>
      <c r="Y11" s="137">
        <f t="shared" si="0"/>
        <v>807101</v>
      </c>
      <c r="Z11" s="137">
        <f t="shared" si="0"/>
        <v>701894</v>
      </c>
      <c r="AA11" s="137">
        <f t="shared" si="0"/>
        <v>634260</v>
      </c>
      <c r="AB11" s="137">
        <f t="shared" si="0"/>
        <v>637432</v>
      </c>
      <c r="AC11" s="137">
        <f t="shared" si="0"/>
        <v>647210</v>
      </c>
      <c r="AD11" s="137">
        <f t="shared" si="0"/>
        <v>772823</v>
      </c>
      <c r="AE11" s="137">
        <f t="shared" si="0"/>
        <v>798497</v>
      </c>
      <c r="AF11" s="137">
        <f t="shared" si="0"/>
        <v>873409</v>
      </c>
      <c r="AG11" s="137">
        <f t="shared" si="0"/>
        <v>923635</v>
      </c>
      <c r="AH11" s="138">
        <f t="shared" si="3"/>
        <v>5.7505704658413183E-2</v>
      </c>
      <c r="AI11" s="139"/>
      <c r="AJ11" s="140">
        <v>882336</v>
      </c>
      <c r="AK11" s="140">
        <v>1000393</v>
      </c>
      <c r="AL11" s="140">
        <v>1086600</v>
      </c>
      <c r="AM11" s="140">
        <v>2619285</v>
      </c>
      <c r="AN11" s="140">
        <f t="shared" si="4"/>
        <v>943029</v>
      </c>
      <c r="AO11" s="140">
        <v>1007673</v>
      </c>
      <c r="AP11" s="137">
        <v>1089076</v>
      </c>
      <c r="AQ11" s="137">
        <v>944865</v>
      </c>
      <c r="AR11" s="137">
        <v>796721</v>
      </c>
      <c r="AS11" s="137">
        <v>834289</v>
      </c>
      <c r="AT11" s="137">
        <v>842026</v>
      </c>
      <c r="AU11" s="137">
        <v>972754</v>
      </c>
      <c r="AV11" s="137">
        <v>1018375</v>
      </c>
      <c r="AW11" s="137">
        <v>1096067</v>
      </c>
      <c r="AX11" s="137">
        <v>1151794</v>
      </c>
      <c r="AY11" s="138">
        <f t="shared" si="5"/>
        <v>5.0842694835260986E-2</v>
      </c>
    </row>
    <row r="12" spans="1:51" x14ac:dyDescent="0.25">
      <c r="A12" s="141" t="s">
        <v>77</v>
      </c>
      <c r="B12" s="37">
        <v>347579</v>
      </c>
      <c r="C12" s="37">
        <v>330867</v>
      </c>
      <c r="D12" s="37">
        <v>416376</v>
      </c>
      <c r="E12" s="37">
        <v>356847</v>
      </c>
      <c r="F12" s="37">
        <v>259467</v>
      </c>
      <c r="G12" s="142">
        <v>265907</v>
      </c>
      <c r="H12" s="142">
        <v>254776</v>
      </c>
      <c r="I12" s="142">
        <v>212149</v>
      </c>
      <c r="J12" s="142">
        <v>197646</v>
      </c>
      <c r="K12" s="142">
        <v>190763</v>
      </c>
      <c r="L12" s="142">
        <v>183130</v>
      </c>
      <c r="M12" s="142">
        <v>207952</v>
      </c>
      <c r="N12" s="142">
        <v>201593</v>
      </c>
      <c r="O12" s="142">
        <v>226110</v>
      </c>
      <c r="P12" s="142">
        <v>216956</v>
      </c>
      <c r="Q12" s="138">
        <f t="shared" si="1"/>
        <v>-4.0484719826633056E-2</v>
      </c>
      <c r="R12" s="143"/>
      <c r="S12" s="37">
        <f t="shared" si="2"/>
        <v>572105</v>
      </c>
      <c r="T12" s="37">
        <f t="shared" si="2"/>
        <v>628978</v>
      </c>
      <c r="U12" s="37">
        <f t="shared" si="2"/>
        <v>727461</v>
      </c>
      <c r="V12" s="37">
        <f t="shared" si="2"/>
        <v>2229286</v>
      </c>
      <c r="W12" s="37">
        <v>692953</v>
      </c>
      <c r="X12" s="37">
        <v>687815</v>
      </c>
      <c r="Y12" s="142">
        <f t="shared" si="0"/>
        <v>816615</v>
      </c>
      <c r="Z12" s="142">
        <f t="shared" si="0"/>
        <v>743420</v>
      </c>
      <c r="AA12" s="142">
        <f t="shared" si="0"/>
        <v>665945</v>
      </c>
      <c r="AB12" s="142">
        <f t="shared" si="0"/>
        <v>687354</v>
      </c>
      <c r="AC12" s="142">
        <f t="shared" si="0"/>
        <v>708939</v>
      </c>
      <c r="AD12" s="142">
        <f t="shared" si="0"/>
        <v>790052</v>
      </c>
      <c r="AE12" s="142">
        <f t="shared" si="0"/>
        <v>893396</v>
      </c>
      <c r="AF12" s="142">
        <f t="shared" si="0"/>
        <v>921151</v>
      </c>
      <c r="AG12" s="137">
        <f t="shared" si="0"/>
        <v>973896</v>
      </c>
      <c r="AH12" s="138">
        <f t="shared" si="3"/>
        <v>5.7259884644319983E-2</v>
      </c>
      <c r="AI12" s="143"/>
      <c r="AJ12" s="144">
        <v>919684</v>
      </c>
      <c r="AK12" s="144">
        <v>959845</v>
      </c>
      <c r="AL12" s="144">
        <v>1143837</v>
      </c>
      <c r="AM12" s="144">
        <v>2586133</v>
      </c>
      <c r="AN12" s="144">
        <f t="shared" si="4"/>
        <v>952420</v>
      </c>
      <c r="AO12" s="144">
        <v>953722</v>
      </c>
      <c r="AP12" s="142">
        <v>1071391</v>
      </c>
      <c r="AQ12" s="142">
        <v>955569</v>
      </c>
      <c r="AR12" s="142">
        <v>863591</v>
      </c>
      <c r="AS12" s="142">
        <v>878117</v>
      </c>
      <c r="AT12" s="142">
        <v>892069</v>
      </c>
      <c r="AU12" s="142">
        <v>998004</v>
      </c>
      <c r="AV12" s="142">
        <v>1094989</v>
      </c>
      <c r="AW12" s="142">
        <v>1147261</v>
      </c>
      <c r="AX12" s="142">
        <v>1190852</v>
      </c>
      <c r="AY12" s="138">
        <f t="shared" si="5"/>
        <v>3.799571326838444E-2</v>
      </c>
    </row>
    <row r="13" spans="1:51" x14ac:dyDescent="0.25">
      <c r="A13" s="27" t="s">
        <v>78</v>
      </c>
      <c r="B13" s="32">
        <v>379521</v>
      </c>
      <c r="C13" s="32">
        <v>396986</v>
      </c>
      <c r="D13" s="32">
        <v>426132</v>
      </c>
      <c r="E13" s="32">
        <v>327914</v>
      </c>
      <c r="F13" s="32">
        <v>258590</v>
      </c>
      <c r="G13" s="137">
        <v>290589</v>
      </c>
      <c r="H13" s="137">
        <v>294444</v>
      </c>
      <c r="I13" s="137">
        <v>246791</v>
      </c>
      <c r="J13" s="137">
        <v>211624</v>
      </c>
      <c r="K13" s="137">
        <v>201690</v>
      </c>
      <c r="L13" s="137">
        <v>202165</v>
      </c>
      <c r="M13" s="137">
        <v>221104</v>
      </c>
      <c r="N13" s="137">
        <v>221597</v>
      </c>
      <c r="O13" s="137">
        <v>228431</v>
      </c>
      <c r="P13" s="137">
        <v>235412</v>
      </c>
      <c r="Q13" s="138">
        <f t="shared" si="1"/>
        <v>3.0560650699773675E-2</v>
      </c>
      <c r="R13" s="139"/>
      <c r="S13" s="32">
        <f t="shared" si="2"/>
        <v>563590</v>
      </c>
      <c r="T13" s="32">
        <f t="shared" si="2"/>
        <v>654594</v>
      </c>
      <c r="U13" s="32">
        <f t="shared" si="2"/>
        <v>795988</v>
      </c>
      <c r="V13" s="32">
        <f t="shared" si="2"/>
        <v>2430470</v>
      </c>
      <c r="W13" s="32">
        <v>662016</v>
      </c>
      <c r="X13" s="32">
        <v>697564</v>
      </c>
      <c r="Y13" s="137">
        <f t="shared" si="0"/>
        <v>813477</v>
      </c>
      <c r="Z13" s="137">
        <f t="shared" si="0"/>
        <v>793329</v>
      </c>
      <c r="AA13" s="137">
        <f t="shared" si="0"/>
        <v>697729</v>
      </c>
      <c r="AB13" s="137">
        <f t="shared" si="0"/>
        <v>688593</v>
      </c>
      <c r="AC13" s="137">
        <f t="shared" si="0"/>
        <v>731331</v>
      </c>
      <c r="AD13" s="137">
        <f t="shared" si="0"/>
        <v>845718</v>
      </c>
      <c r="AE13" s="137">
        <f t="shared" si="0"/>
        <v>927134</v>
      </c>
      <c r="AF13" s="137">
        <f t="shared" si="0"/>
        <v>994736</v>
      </c>
      <c r="AG13" s="137">
        <f t="shared" si="0"/>
        <v>1010642</v>
      </c>
      <c r="AH13" s="138">
        <f t="shared" si="3"/>
        <v>1.59901722668125E-2</v>
      </c>
      <c r="AI13" s="139"/>
      <c r="AJ13" s="140">
        <v>943111</v>
      </c>
      <c r="AK13" s="140">
        <v>1051580</v>
      </c>
      <c r="AL13" s="140">
        <v>1222120</v>
      </c>
      <c r="AM13" s="140">
        <v>2758384</v>
      </c>
      <c r="AN13" s="140">
        <f t="shared" si="4"/>
        <v>920606</v>
      </c>
      <c r="AO13" s="140">
        <v>988153</v>
      </c>
      <c r="AP13" s="137">
        <v>1107921</v>
      </c>
      <c r="AQ13" s="137">
        <v>1040120</v>
      </c>
      <c r="AR13" s="137">
        <v>909353</v>
      </c>
      <c r="AS13" s="137">
        <v>890283</v>
      </c>
      <c r="AT13" s="137">
        <v>933496</v>
      </c>
      <c r="AU13" s="137">
        <v>1066822</v>
      </c>
      <c r="AV13" s="137">
        <v>1148731</v>
      </c>
      <c r="AW13" s="137">
        <v>1223167</v>
      </c>
      <c r="AX13" s="137">
        <v>1246054</v>
      </c>
      <c r="AY13" s="138">
        <f t="shared" si="5"/>
        <v>1.8711263466068002E-2</v>
      </c>
    </row>
    <row r="14" spans="1:51" x14ac:dyDescent="0.25">
      <c r="A14" s="141" t="s">
        <v>79</v>
      </c>
      <c r="B14" s="37">
        <v>376071</v>
      </c>
      <c r="C14" s="37">
        <v>390667</v>
      </c>
      <c r="D14" s="37">
        <v>410894</v>
      </c>
      <c r="E14" s="37">
        <v>313199</v>
      </c>
      <c r="F14" s="37">
        <v>277393</v>
      </c>
      <c r="G14" s="142">
        <v>281086</v>
      </c>
      <c r="H14" s="142">
        <v>285549</v>
      </c>
      <c r="I14" s="142">
        <v>238367</v>
      </c>
      <c r="J14" s="142">
        <v>200188</v>
      </c>
      <c r="K14" s="142">
        <v>192927</v>
      </c>
      <c r="L14" s="142">
        <v>190108</v>
      </c>
      <c r="M14" s="142">
        <v>219843</v>
      </c>
      <c r="N14" s="142">
        <v>214310</v>
      </c>
      <c r="O14" s="142">
        <v>212429</v>
      </c>
      <c r="P14" s="142">
        <v>227120</v>
      </c>
      <c r="Q14" s="138">
        <f t="shared" si="1"/>
        <v>6.9157224296117759E-2</v>
      </c>
      <c r="R14" s="143"/>
      <c r="S14" s="37">
        <f t="shared" si="2"/>
        <v>605869</v>
      </c>
      <c r="T14" s="37">
        <f t="shared" si="2"/>
        <v>678396</v>
      </c>
      <c r="U14" s="37">
        <f t="shared" si="2"/>
        <v>791529</v>
      </c>
      <c r="V14" s="37">
        <f t="shared" si="2"/>
        <v>2492342</v>
      </c>
      <c r="W14" s="37">
        <v>724416</v>
      </c>
      <c r="X14" s="37">
        <v>713130</v>
      </c>
      <c r="Y14" s="142">
        <f t="shared" si="0"/>
        <v>851082</v>
      </c>
      <c r="Z14" s="142">
        <f t="shared" si="0"/>
        <v>831555</v>
      </c>
      <c r="AA14" s="142">
        <f t="shared" si="0"/>
        <v>740516</v>
      </c>
      <c r="AB14" s="142">
        <f t="shared" si="0"/>
        <v>755511</v>
      </c>
      <c r="AC14" s="142">
        <f t="shared" si="0"/>
        <v>769096</v>
      </c>
      <c r="AD14" s="142">
        <f t="shared" si="0"/>
        <v>878693</v>
      </c>
      <c r="AE14" s="142">
        <f t="shared" si="0"/>
        <v>989026</v>
      </c>
      <c r="AF14" s="142">
        <f t="shared" si="0"/>
        <v>1027880</v>
      </c>
      <c r="AG14" s="137">
        <f t="shared" si="0"/>
        <v>1086423</v>
      </c>
      <c r="AH14" s="138">
        <f t="shared" si="3"/>
        <v>5.6955092034089584E-2</v>
      </c>
      <c r="AI14" s="143"/>
      <c r="AJ14" s="144">
        <v>981940</v>
      </c>
      <c r="AK14" s="144">
        <v>1069063</v>
      </c>
      <c r="AL14" s="144">
        <v>1202423</v>
      </c>
      <c r="AM14" s="144">
        <v>2805541</v>
      </c>
      <c r="AN14" s="144">
        <f t="shared" si="4"/>
        <v>1001809</v>
      </c>
      <c r="AO14" s="144">
        <v>994216</v>
      </c>
      <c r="AP14" s="142">
        <v>1136631</v>
      </c>
      <c r="AQ14" s="142">
        <v>1069922</v>
      </c>
      <c r="AR14" s="142">
        <v>940704</v>
      </c>
      <c r="AS14" s="142">
        <v>948438</v>
      </c>
      <c r="AT14" s="142">
        <v>959204</v>
      </c>
      <c r="AU14" s="142">
        <v>1098536</v>
      </c>
      <c r="AV14" s="142">
        <v>1203336</v>
      </c>
      <c r="AW14" s="142">
        <v>1240309</v>
      </c>
      <c r="AX14" s="142">
        <v>1313543</v>
      </c>
      <c r="AY14" s="138">
        <f t="shared" si="5"/>
        <v>5.9044963795312294E-2</v>
      </c>
    </row>
    <row r="15" spans="1:51" x14ac:dyDescent="0.25">
      <c r="A15" s="27" t="s">
        <v>80</v>
      </c>
      <c r="B15" s="32">
        <v>343421</v>
      </c>
      <c r="C15" s="32">
        <v>341414</v>
      </c>
      <c r="D15" s="32">
        <v>367071</v>
      </c>
      <c r="E15" s="32">
        <v>284173</v>
      </c>
      <c r="F15" s="32">
        <v>264755</v>
      </c>
      <c r="G15" s="137">
        <v>252748</v>
      </c>
      <c r="H15" s="137">
        <v>263411</v>
      </c>
      <c r="I15" s="137">
        <v>206816</v>
      </c>
      <c r="J15" s="137">
        <v>192426</v>
      </c>
      <c r="K15" s="137">
        <v>186751</v>
      </c>
      <c r="L15" s="137">
        <v>196162</v>
      </c>
      <c r="M15" s="137">
        <v>194771</v>
      </c>
      <c r="N15" s="137">
        <v>196597</v>
      </c>
      <c r="O15" s="137">
        <v>195186</v>
      </c>
      <c r="P15" s="137">
        <v>214224</v>
      </c>
      <c r="Q15" s="138">
        <f t="shared" si="1"/>
        <v>9.7537733239064284E-2</v>
      </c>
      <c r="R15" s="139"/>
      <c r="S15" s="32">
        <f t="shared" si="2"/>
        <v>674832</v>
      </c>
      <c r="T15" s="32">
        <f t="shared" si="2"/>
        <v>735319</v>
      </c>
      <c r="U15" s="32">
        <f t="shared" si="2"/>
        <v>877056</v>
      </c>
      <c r="V15" s="32">
        <f t="shared" si="2"/>
        <v>2767813</v>
      </c>
      <c r="W15" s="32">
        <v>833832</v>
      </c>
      <c r="X15" s="32">
        <v>824439</v>
      </c>
      <c r="Y15" s="137">
        <f t="shared" si="0"/>
        <v>949949</v>
      </c>
      <c r="Z15" s="137">
        <f t="shared" si="0"/>
        <v>942897</v>
      </c>
      <c r="AA15" s="137">
        <f t="shared" si="0"/>
        <v>829213</v>
      </c>
      <c r="AB15" s="137">
        <f t="shared" si="0"/>
        <v>828566</v>
      </c>
      <c r="AC15" s="137">
        <f t="shared" si="0"/>
        <v>870134</v>
      </c>
      <c r="AD15" s="137">
        <f t="shared" si="0"/>
        <v>949073</v>
      </c>
      <c r="AE15" s="137">
        <f t="shared" si="0"/>
        <v>1068843</v>
      </c>
      <c r="AF15" s="137">
        <f t="shared" si="0"/>
        <v>1086101</v>
      </c>
      <c r="AG15" s="137">
        <f t="shared" si="0"/>
        <v>1143049</v>
      </c>
      <c r="AH15" s="138">
        <f t="shared" si="3"/>
        <v>5.2433429303536228E-2</v>
      </c>
      <c r="AI15" s="139"/>
      <c r="AJ15" s="140">
        <v>1018253</v>
      </c>
      <c r="AK15" s="140">
        <v>1076733</v>
      </c>
      <c r="AL15" s="140">
        <v>1244127</v>
      </c>
      <c r="AM15" s="140">
        <v>3051986</v>
      </c>
      <c r="AN15" s="140">
        <f t="shared" si="4"/>
        <v>1098587</v>
      </c>
      <c r="AO15" s="140">
        <v>1077187</v>
      </c>
      <c r="AP15" s="137">
        <v>1213360</v>
      </c>
      <c r="AQ15" s="137">
        <v>1149713</v>
      </c>
      <c r="AR15" s="137">
        <v>1021639</v>
      </c>
      <c r="AS15" s="137">
        <v>1015317</v>
      </c>
      <c r="AT15" s="137">
        <v>1066296</v>
      </c>
      <c r="AU15" s="137">
        <v>1143844</v>
      </c>
      <c r="AV15" s="137">
        <v>1265440</v>
      </c>
      <c r="AW15" s="137">
        <v>1281287</v>
      </c>
      <c r="AX15" s="137">
        <v>1357273</v>
      </c>
      <c r="AY15" s="138">
        <f t="shared" si="5"/>
        <v>5.930443374513282E-2</v>
      </c>
    </row>
    <row r="16" spans="1:51" x14ac:dyDescent="0.25">
      <c r="A16" s="141" t="s">
        <v>81</v>
      </c>
      <c r="B16" s="37">
        <v>209907</v>
      </c>
      <c r="C16" s="37">
        <v>221894</v>
      </c>
      <c r="D16" s="37">
        <v>247261</v>
      </c>
      <c r="E16" s="37">
        <v>168491</v>
      </c>
      <c r="F16" s="37">
        <v>181607</v>
      </c>
      <c r="G16" s="142">
        <v>175226</v>
      </c>
      <c r="H16" s="142">
        <v>192784</v>
      </c>
      <c r="I16" s="142">
        <v>143454</v>
      </c>
      <c r="J16" s="142">
        <v>134040</v>
      </c>
      <c r="K16" s="142">
        <v>120227</v>
      </c>
      <c r="L16" s="142">
        <v>128801</v>
      </c>
      <c r="M16" s="142">
        <v>125699</v>
      </c>
      <c r="N16" s="142">
        <v>128801</v>
      </c>
      <c r="O16" s="142">
        <v>134642</v>
      </c>
      <c r="P16" s="142">
        <v>142873</v>
      </c>
      <c r="Q16" s="138">
        <f t="shared" si="1"/>
        <v>6.1132484663032338E-2</v>
      </c>
      <c r="R16" s="143"/>
      <c r="S16" s="37">
        <f t="shared" si="2"/>
        <v>815510</v>
      </c>
      <c r="T16" s="37">
        <f t="shared" si="2"/>
        <v>862753</v>
      </c>
      <c r="U16" s="37">
        <f t="shared" si="2"/>
        <v>994417</v>
      </c>
      <c r="V16" s="37">
        <f t="shared" si="2"/>
        <v>2954135</v>
      </c>
      <c r="W16" s="37">
        <v>872356</v>
      </c>
      <c r="X16" s="37">
        <v>871601</v>
      </c>
      <c r="Y16" s="142">
        <f t="shared" si="0"/>
        <v>990260</v>
      </c>
      <c r="Z16" s="142">
        <f t="shared" si="0"/>
        <v>970480</v>
      </c>
      <c r="AA16" s="142">
        <f t="shared" si="0"/>
        <v>837269</v>
      </c>
      <c r="AB16" s="142">
        <f t="shared" si="0"/>
        <v>878055</v>
      </c>
      <c r="AC16" s="142">
        <f t="shared" si="0"/>
        <v>917486</v>
      </c>
      <c r="AD16" s="142">
        <f t="shared" si="0"/>
        <v>988947</v>
      </c>
      <c r="AE16" s="142">
        <f t="shared" si="0"/>
        <v>1031488</v>
      </c>
      <c r="AF16" s="142">
        <f t="shared" si="0"/>
        <v>1081539</v>
      </c>
      <c r="AG16" s="137">
        <f>AX16-P16</f>
        <v>1132437</v>
      </c>
      <c r="AH16" s="138">
        <f t="shared" si="3"/>
        <v>4.7060716257111397E-2</v>
      </c>
      <c r="AI16" s="143"/>
      <c r="AJ16" s="144">
        <v>1025417</v>
      </c>
      <c r="AK16" s="144">
        <v>1084647</v>
      </c>
      <c r="AL16" s="144">
        <v>1241678</v>
      </c>
      <c r="AM16" s="144">
        <v>3122626</v>
      </c>
      <c r="AN16" s="144">
        <f t="shared" si="4"/>
        <v>1053963</v>
      </c>
      <c r="AO16" s="144">
        <v>1046827</v>
      </c>
      <c r="AP16" s="142">
        <v>1183044</v>
      </c>
      <c r="AQ16" s="142">
        <v>1113934</v>
      </c>
      <c r="AR16" s="142">
        <v>971309</v>
      </c>
      <c r="AS16" s="142">
        <v>998282</v>
      </c>
      <c r="AT16" s="142">
        <v>1046287</v>
      </c>
      <c r="AU16" s="142">
        <v>1114646</v>
      </c>
      <c r="AV16" s="142">
        <v>1160289</v>
      </c>
      <c r="AW16" s="142">
        <v>1216181</v>
      </c>
      <c r="AX16" s="142">
        <v>1275310</v>
      </c>
      <c r="AY16" s="138">
        <f t="shared" si="5"/>
        <v>4.8618585555932875E-2</v>
      </c>
    </row>
    <row r="17" spans="1:51" x14ac:dyDescent="0.25">
      <c r="A17" s="27" t="s">
        <v>82</v>
      </c>
      <c r="B17" s="32">
        <v>343879</v>
      </c>
      <c r="C17" s="32">
        <v>366727</v>
      </c>
      <c r="D17" s="32">
        <v>386132</v>
      </c>
      <c r="E17" s="32">
        <v>240542</v>
      </c>
      <c r="F17" s="32">
        <v>255484</v>
      </c>
      <c r="G17" s="137">
        <v>252878</v>
      </c>
      <c r="H17" s="137">
        <v>279583</v>
      </c>
      <c r="I17" s="137">
        <v>199417</v>
      </c>
      <c r="J17" s="137">
        <v>182030</v>
      </c>
      <c r="K17" s="137">
        <v>186117</v>
      </c>
      <c r="L17" s="137">
        <v>193153</v>
      </c>
      <c r="M17" s="137">
        <v>201799</v>
      </c>
      <c r="N17" s="137">
        <v>196399</v>
      </c>
      <c r="O17" s="137">
        <v>198089</v>
      </c>
      <c r="P17" s="137">
        <v>219128</v>
      </c>
      <c r="Q17" s="138">
        <f t="shared" si="1"/>
        <v>0.10620983497316863</v>
      </c>
      <c r="R17" s="139"/>
      <c r="S17" s="32">
        <f t="shared" si="2"/>
        <v>648225</v>
      </c>
      <c r="T17" s="32">
        <f t="shared" si="2"/>
        <v>685223</v>
      </c>
      <c r="U17" s="32">
        <f t="shared" si="2"/>
        <v>804015</v>
      </c>
      <c r="V17" s="32">
        <f t="shared" si="2"/>
        <v>2436560</v>
      </c>
      <c r="W17" s="32">
        <v>715838</v>
      </c>
      <c r="X17" s="32">
        <v>797155</v>
      </c>
      <c r="Y17" s="137">
        <f t="shared" si="0"/>
        <v>868286</v>
      </c>
      <c r="Z17" s="137">
        <f t="shared" si="0"/>
        <v>839527</v>
      </c>
      <c r="AA17" s="137">
        <f t="shared" si="0"/>
        <v>719046</v>
      </c>
      <c r="AB17" s="137">
        <f t="shared" si="0"/>
        <v>775632</v>
      </c>
      <c r="AC17" s="137">
        <f t="shared" si="0"/>
        <v>803122</v>
      </c>
      <c r="AD17" s="137">
        <f t="shared" si="0"/>
        <v>894186</v>
      </c>
      <c r="AE17" s="137">
        <f t="shared" si="0"/>
        <v>979337</v>
      </c>
      <c r="AF17" s="137">
        <f t="shared" si="0"/>
        <v>1022262</v>
      </c>
      <c r="AG17" s="137">
        <f t="shared" si="0"/>
        <v>1071811</v>
      </c>
      <c r="AH17" s="138">
        <f t="shared" si="3"/>
        <v>4.8469961712359455E-2</v>
      </c>
      <c r="AI17" s="139"/>
      <c r="AJ17" s="140">
        <v>992104</v>
      </c>
      <c r="AK17" s="140">
        <v>1051950</v>
      </c>
      <c r="AL17" s="140">
        <v>1190147</v>
      </c>
      <c r="AM17" s="140">
        <v>2677102</v>
      </c>
      <c r="AN17" s="140">
        <f t="shared" si="4"/>
        <v>971322</v>
      </c>
      <c r="AO17" s="140">
        <v>1050033</v>
      </c>
      <c r="AP17" s="137">
        <v>1147869</v>
      </c>
      <c r="AQ17" s="137">
        <v>1038944</v>
      </c>
      <c r="AR17" s="137">
        <v>901076</v>
      </c>
      <c r="AS17" s="137">
        <v>961749</v>
      </c>
      <c r="AT17" s="137">
        <v>996275</v>
      </c>
      <c r="AU17" s="137">
        <v>1095985</v>
      </c>
      <c r="AV17" s="137">
        <v>1175736</v>
      </c>
      <c r="AW17" s="137">
        <v>1220351</v>
      </c>
      <c r="AX17" s="137">
        <v>1290939</v>
      </c>
      <c r="AY17" s="138">
        <f t="shared" si="5"/>
        <v>5.7842374857725358E-2</v>
      </c>
    </row>
    <row r="18" spans="1:51" x14ac:dyDescent="0.25">
      <c r="A18" s="141" t="s">
        <v>83</v>
      </c>
      <c r="B18" s="37">
        <v>399823</v>
      </c>
      <c r="C18" s="37">
        <v>384230</v>
      </c>
      <c r="D18" s="37">
        <v>421584</v>
      </c>
      <c r="E18" s="37">
        <v>290657</v>
      </c>
      <c r="F18" s="37">
        <v>291774</v>
      </c>
      <c r="G18" s="142">
        <v>282195</v>
      </c>
      <c r="H18" s="142">
        <v>284354</v>
      </c>
      <c r="I18" s="142">
        <v>239637</v>
      </c>
      <c r="J18" s="142">
        <v>220311</v>
      </c>
      <c r="K18" s="142">
        <v>208060</v>
      </c>
      <c r="L18" s="142">
        <v>222377</v>
      </c>
      <c r="M18" s="142">
        <v>218397</v>
      </c>
      <c r="N18" s="142">
        <v>217505</v>
      </c>
      <c r="O18" s="142">
        <v>232329</v>
      </c>
      <c r="P18" s="142">
        <v>246863</v>
      </c>
      <c r="Q18" s="138">
        <f t="shared" si="1"/>
        <v>6.2557838238015917E-2</v>
      </c>
      <c r="R18" s="143"/>
      <c r="S18" s="37">
        <f t="shared" si="2"/>
        <v>584462</v>
      </c>
      <c r="T18" s="37">
        <f t="shared" si="2"/>
        <v>647499</v>
      </c>
      <c r="U18" s="37">
        <f t="shared" si="2"/>
        <v>755754</v>
      </c>
      <c r="V18" s="37">
        <f t="shared" si="2"/>
        <v>2181478</v>
      </c>
      <c r="W18" s="37">
        <v>664422</v>
      </c>
      <c r="X18" s="37">
        <v>780477</v>
      </c>
      <c r="Y18" s="142">
        <f t="shared" si="0"/>
        <v>774219</v>
      </c>
      <c r="Z18" s="142">
        <f t="shared" si="0"/>
        <v>702047</v>
      </c>
      <c r="AA18" s="142">
        <f t="shared" si="0"/>
        <v>643608</v>
      </c>
      <c r="AB18" s="142">
        <f t="shared" si="0"/>
        <v>698459</v>
      </c>
      <c r="AC18" s="142">
        <f t="shared" si="0"/>
        <v>713026</v>
      </c>
      <c r="AD18" s="142">
        <f t="shared" si="0"/>
        <v>794147</v>
      </c>
      <c r="AE18" s="142">
        <f t="shared" si="0"/>
        <v>888805</v>
      </c>
      <c r="AF18" s="142">
        <f t="shared" si="0"/>
        <v>956455</v>
      </c>
      <c r="AG18" s="137">
        <f t="shared" si="0"/>
        <v>970193</v>
      </c>
      <c r="AH18" s="138">
        <f>(AG18-AF18)/AF18</f>
        <v>1.4363456723003173E-2</v>
      </c>
      <c r="AI18" s="143"/>
      <c r="AJ18" s="144">
        <v>984285</v>
      </c>
      <c r="AK18" s="144">
        <v>1031729</v>
      </c>
      <c r="AL18" s="144">
        <v>1177338</v>
      </c>
      <c r="AM18" s="144">
        <v>2472135</v>
      </c>
      <c r="AN18" s="144">
        <f t="shared" si="4"/>
        <v>956196</v>
      </c>
      <c r="AO18" s="144">
        <v>1062672</v>
      </c>
      <c r="AP18" s="142">
        <v>1058573</v>
      </c>
      <c r="AQ18" s="142">
        <v>941684</v>
      </c>
      <c r="AR18" s="142">
        <v>863919</v>
      </c>
      <c r="AS18" s="142">
        <v>906519</v>
      </c>
      <c r="AT18" s="142">
        <v>935403</v>
      </c>
      <c r="AU18" s="142">
        <v>1012544</v>
      </c>
      <c r="AV18" s="142">
        <v>1106310</v>
      </c>
      <c r="AW18" s="142">
        <v>1188784</v>
      </c>
      <c r="AX18" s="142">
        <v>1217056</v>
      </c>
      <c r="AY18" s="138">
        <f t="shared" si="5"/>
        <v>2.3782285091320205E-2</v>
      </c>
    </row>
    <row r="19" spans="1:51" x14ac:dyDescent="0.25">
      <c r="A19" s="27" t="s">
        <v>84</v>
      </c>
      <c r="B19" s="32">
        <v>372555</v>
      </c>
      <c r="C19" s="32">
        <v>395719</v>
      </c>
      <c r="D19" s="32">
        <v>423074</v>
      </c>
      <c r="E19" s="32">
        <v>261798</v>
      </c>
      <c r="F19" s="32">
        <v>285435</v>
      </c>
      <c r="G19" s="137">
        <v>263420</v>
      </c>
      <c r="H19" s="137">
        <v>277401</v>
      </c>
      <c r="I19" s="137">
        <v>202414</v>
      </c>
      <c r="J19" s="137">
        <v>187807</v>
      </c>
      <c r="K19" s="137">
        <v>178021</v>
      </c>
      <c r="L19" s="137">
        <v>195792</v>
      </c>
      <c r="M19" s="137">
        <v>202520</v>
      </c>
      <c r="N19" s="137">
        <v>198727</v>
      </c>
      <c r="O19" s="137">
        <v>213033</v>
      </c>
      <c r="P19" s="137">
        <v>225321</v>
      </c>
      <c r="Q19" s="138">
        <f t="shared" si="1"/>
        <v>5.7681204320457397E-2</v>
      </c>
      <c r="R19" s="139"/>
      <c r="S19" s="32">
        <f t="shared" si="2"/>
        <v>518193</v>
      </c>
      <c r="T19" s="32">
        <f t="shared" si="2"/>
        <v>587760</v>
      </c>
      <c r="U19" s="32">
        <f t="shared" si="2"/>
        <v>669584</v>
      </c>
      <c r="V19" s="32">
        <f t="shared" si="2"/>
        <v>1673485</v>
      </c>
      <c r="W19" s="32">
        <v>618792</v>
      </c>
      <c r="X19" s="32">
        <v>720784</v>
      </c>
      <c r="Y19" s="137">
        <f t="shared" si="0"/>
        <v>717139</v>
      </c>
      <c r="Z19" s="137">
        <f t="shared" si="0"/>
        <v>591514</v>
      </c>
      <c r="AA19" s="137">
        <f t="shared" si="0"/>
        <v>576664</v>
      </c>
      <c r="AB19" s="137">
        <f t="shared" si="0"/>
        <v>585787</v>
      </c>
      <c r="AC19" s="137">
        <f t="shared" si="0"/>
        <v>624128</v>
      </c>
      <c r="AD19" s="137">
        <f t="shared" si="0"/>
        <v>719205</v>
      </c>
      <c r="AE19" s="137">
        <f t="shared" si="0"/>
        <v>773096</v>
      </c>
      <c r="AF19" s="137">
        <f t="shared" si="0"/>
        <v>804798</v>
      </c>
      <c r="AG19" s="137">
        <f t="shared" si="0"/>
        <v>824664</v>
      </c>
      <c r="AH19" s="138">
        <f t="shared" si="3"/>
        <v>2.4684454981249954E-2</v>
      </c>
      <c r="AI19" s="139"/>
      <c r="AJ19" s="140">
        <v>890748</v>
      </c>
      <c r="AK19" s="140">
        <v>983479</v>
      </c>
      <c r="AL19" s="140">
        <v>1092658</v>
      </c>
      <c r="AM19" s="140">
        <v>1935283</v>
      </c>
      <c r="AN19" s="140">
        <f t="shared" si="4"/>
        <v>904227</v>
      </c>
      <c r="AO19" s="140">
        <v>984204</v>
      </c>
      <c r="AP19" s="137">
        <v>994540</v>
      </c>
      <c r="AQ19" s="137">
        <v>793928</v>
      </c>
      <c r="AR19" s="137">
        <v>764471</v>
      </c>
      <c r="AS19" s="137">
        <v>763808</v>
      </c>
      <c r="AT19" s="137">
        <v>819920</v>
      </c>
      <c r="AU19" s="137">
        <v>921725</v>
      </c>
      <c r="AV19" s="137">
        <v>971823</v>
      </c>
      <c r="AW19" s="137">
        <v>1017831</v>
      </c>
      <c r="AX19" s="137">
        <v>1049985</v>
      </c>
      <c r="AY19" s="138">
        <f t="shared" si="5"/>
        <v>3.1590706119188745E-2</v>
      </c>
    </row>
    <row r="20" spans="1:51" x14ac:dyDescent="0.25">
      <c r="A20" s="141" t="s">
        <v>85</v>
      </c>
      <c r="B20" s="37">
        <v>332277</v>
      </c>
      <c r="C20" s="37">
        <v>328658</v>
      </c>
      <c r="D20" s="37">
        <v>350173</v>
      </c>
      <c r="E20" s="37">
        <v>240727</v>
      </c>
      <c r="F20" s="37">
        <v>249270</v>
      </c>
      <c r="G20" s="142">
        <v>219320</v>
      </c>
      <c r="H20" s="142">
        <v>246652</v>
      </c>
      <c r="I20" s="142">
        <v>180124</v>
      </c>
      <c r="J20" s="142">
        <v>168137</v>
      </c>
      <c r="K20" s="142">
        <v>168013</v>
      </c>
      <c r="L20" s="142">
        <v>172180</v>
      </c>
      <c r="M20" s="142">
        <v>181299</v>
      </c>
      <c r="N20" s="142">
        <v>191955</v>
      </c>
      <c r="O20" s="142">
        <v>209042</v>
      </c>
      <c r="P20" s="142">
        <v>212034</v>
      </c>
      <c r="Q20" s="138">
        <f t="shared" si="1"/>
        <v>1.4312913194477665E-2</v>
      </c>
      <c r="R20" s="143"/>
      <c r="S20" s="37">
        <f t="shared" si="2"/>
        <v>513748</v>
      </c>
      <c r="T20" s="37">
        <f t="shared" si="2"/>
        <v>550778</v>
      </c>
      <c r="U20" s="37">
        <f t="shared" si="2"/>
        <v>631037</v>
      </c>
      <c r="V20" s="37">
        <f t="shared" si="2"/>
        <v>1601579</v>
      </c>
      <c r="W20" s="37">
        <v>610422</v>
      </c>
      <c r="X20" s="37">
        <v>656368</v>
      </c>
      <c r="Y20" s="142">
        <f t="shared" si="0"/>
        <v>721088</v>
      </c>
      <c r="Z20" s="142">
        <f t="shared" si="0"/>
        <v>614553</v>
      </c>
      <c r="AA20" s="142">
        <f t="shared" si="0"/>
        <v>571826</v>
      </c>
      <c r="AB20" s="142">
        <f t="shared" si="0"/>
        <v>562097</v>
      </c>
      <c r="AC20" s="142">
        <f t="shared" si="0"/>
        <v>605765</v>
      </c>
      <c r="AD20" s="142">
        <f t="shared" si="0"/>
        <v>667713</v>
      </c>
      <c r="AE20" s="142">
        <f t="shared" si="0"/>
        <v>748605</v>
      </c>
      <c r="AF20" s="142">
        <f t="shared" si="0"/>
        <v>803702</v>
      </c>
      <c r="AG20" s="137">
        <f t="shared" si="0"/>
        <v>823988</v>
      </c>
      <c r="AH20" s="138">
        <f t="shared" si="3"/>
        <v>2.5240698666918832E-2</v>
      </c>
      <c r="AI20" s="143"/>
      <c r="AJ20" s="144">
        <v>846025</v>
      </c>
      <c r="AK20" s="144">
        <v>879436</v>
      </c>
      <c r="AL20" s="144">
        <v>981210</v>
      </c>
      <c r="AM20" s="144">
        <v>1842306</v>
      </c>
      <c r="AN20" s="144">
        <f t="shared" si="4"/>
        <v>859692</v>
      </c>
      <c r="AO20" s="144">
        <v>875388</v>
      </c>
      <c r="AP20" s="142">
        <v>967740</v>
      </c>
      <c r="AQ20" s="142">
        <v>794677</v>
      </c>
      <c r="AR20" s="142">
        <v>739963</v>
      </c>
      <c r="AS20" s="142">
        <v>730110</v>
      </c>
      <c r="AT20" s="142">
        <v>777945</v>
      </c>
      <c r="AU20" s="142">
        <v>849012</v>
      </c>
      <c r="AV20" s="142">
        <v>940560</v>
      </c>
      <c r="AW20" s="142">
        <v>1012744</v>
      </c>
      <c r="AX20" s="142">
        <v>1036022</v>
      </c>
      <c r="AY20" s="138">
        <f t="shared" si="5"/>
        <v>2.298507816387952E-2</v>
      </c>
    </row>
    <row r="21" spans="1:51" x14ac:dyDescent="0.25">
      <c r="A21" s="31"/>
      <c r="B21" s="145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138"/>
      <c r="R21" s="13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37"/>
      <c r="AH21" s="138"/>
      <c r="AI21" s="139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38"/>
    </row>
    <row r="22" spans="1:51" s="152" customFormat="1" ht="18" customHeight="1" x14ac:dyDescent="0.35">
      <c r="A22" s="146" t="s">
        <v>35</v>
      </c>
      <c r="B22" s="147">
        <f t="shared" ref="B22:G22" si="6">SUM(B9:B20)</f>
        <v>4145347</v>
      </c>
      <c r="C22" s="147">
        <f t="shared" si="6"/>
        <v>4227978</v>
      </c>
      <c r="D22" s="147">
        <f t="shared" si="6"/>
        <v>4526713</v>
      </c>
      <c r="E22" s="147">
        <f>SUM(E9:E20)</f>
        <v>3632361</v>
      </c>
      <c r="F22" s="147">
        <f>SUM(F9:F20)</f>
        <v>3056176</v>
      </c>
      <c r="G22" s="147">
        <f t="shared" si="6"/>
        <v>3071207</v>
      </c>
      <c r="H22" s="147">
        <v>3129530</v>
      </c>
      <c r="I22" s="147">
        <v>2573032</v>
      </c>
      <c r="J22" s="147">
        <v>2209896</v>
      </c>
      <c r="K22" s="147">
        <f t="shared" ref="K22:P22" si="7">SUM(K9:K20)</f>
        <v>2161055</v>
      </c>
      <c r="L22" s="147">
        <f t="shared" si="7"/>
        <v>2198342</v>
      </c>
      <c r="M22" s="147">
        <f t="shared" si="7"/>
        <v>2330293</v>
      </c>
      <c r="N22" s="147">
        <f t="shared" si="7"/>
        <v>2345168</v>
      </c>
      <c r="O22" s="147">
        <f t="shared" si="7"/>
        <v>2468874</v>
      </c>
      <c r="P22" s="147">
        <f t="shared" si="7"/>
        <v>2575836</v>
      </c>
      <c r="Q22" s="148">
        <f>(P22-O22)/O22</f>
        <v>4.3324203665314635E-2</v>
      </c>
      <c r="R22" s="149"/>
      <c r="S22" s="147">
        <f t="shared" si="2"/>
        <v>6929505</v>
      </c>
      <c r="T22" s="147">
        <f>SUM(T9:T20)</f>
        <v>7628210</v>
      </c>
      <c r="U22" s="147">
        <f>SUM(U9:U20)</f>
        <v>8850805</v>
      </c>
      <c r="V22" s="147">
        <f>SUM(V9:V20)</f>
        <v>26554065</v>
      </c>
      <c r="W22" s="147">
        <f>SUM(W9:W20)</f>
        <v>8139214</v>
      </c>
      <c r="X22" s="147">
        <f>SUM(X9:X20)</f>
        <v>8560530</v>
      </c>
      <c r="Y22" s="147">
        <f>SUM(Y9:Y21)</f>
        <v>9553993</v>
      </c>
      <c r="Z22" s="147">
        <f>SUM(Z9:Z21)</f>
        <v>8892874</v>
      </c>
      <c r="AA22" s="147">
        <f>AR22-J22</f>
        <v>7970553</v>
      </c>
      <c r="AB22" s="147">
        <f>SUM(AB9:AB20)</f>
        <v>8121543</v>
      </c>
      <c r="AC22" s="147">
        <f>SUM(AC9:AC20)</f>
        <v>8409749</v>
      </c>
      <c r="AD22" s="147">
        <f>AU22-M22</f>
        <v>9486030</v>
      </c>
      <c r="AE22" s="147">
        <f>AV22-N22</f>
        <v>10378369</v>
      </c>
      <c r="AF22" s="147">
        <f>AW22-O22</f>
        <v>10984007</v>
      </c>
      <c r="AG22" s="150">
        <f t="shared" si="0"/>
        <v>11441779</v>
      </c>
      <c r="AH22" s="148">
        <f t="shared" si="3"/>
        <v>4.1676229813036356E-2</v>
      </c>
      <c r="AI22" s="149"/>
      <c r="AJ22" s="151">
        <f t="shared" ref="AJ22:AO22" si="8">SUM(AJ9:AJ20)</f>
        <v>11074852</v>
      </c>
      <c r="AK22" s="151">
        <f t="shared" si="8"/>
        <v>11856188</v>
      </c>
      <c r="AL22" s="151">
        <f t="shared" si="8"/>
        <v>13377518</v>
      </c>
      <c r="AM22" s="151">
        <f>SUM(AM9:AM20)</f>
        <v>30186426</v>
      </c>
      <c r="AN22" s="151">
        <f>SUM(AN9:AN20)</f>
        <v>11195390</v>
      </c>
      <c r="AO22" s="151">
        <f t="shared" si="8"/>
        <v>11631437</v>
      </c>
      <c r="AP22" s="151">
        <v>12683523</v>
      </c>
      <c r="AQ22" s="151">
        <v>11465906</v>
      </c>
      <c r="AR22" s="151">
        <v>10180449</v>
      </c>
      <c r="AS22" s="151">
        <f t="shared" ref="AS22:AX22" si="9">SUM(AS9:AS20)</f>
        <v>10282598</v>
      </c>
      <c r="AT22" s="151">
        <f t="shared" si="9"/>
        <v>10608091</v>
      </c>
      <c r="AU22" s="151">
        <f t="shared" si="9"/>
        <v>11816323</v>
      </c>
      <c r="AV22" s="151">
        <f t="shared" si="9"/>
        <v>12723537</v>
      </c>
      <c r="AW22" s="151">
        <f t="shared" si="9"/>
        <v>13452881</v>
      </c>
      <c r="AX22" s="151">
        <f t="shared" si="9"/>
        <v>14017615</v>
      </c>
      <c r="AY22" s="148">
        <f t="shared" si="5"/>
        <v>4.1978666131068876E-2</v>
      </c>
    </row>
    <row r="23" spans="1:51" ht="15" customHeight="1" x14ac:dyDescent="0.3">
      <c r="A23" s="52" t="s">
        <v>53</v>
      </c>
      <c r="B23" s="57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</row>
    <row r="24" spans="1:51" ht="15" customHeight="1" x14ac:dyDescent="0.25">
      <c r="A24" s="34" t="s">
        <v>86</v>
      </c>
    </row>
    <row r="27" spans="1:51" x14ac:dyDescent="0.25"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34" spans="17:19" ht="14.5" x14ac:dyDescent="0.35">
      <c r="Q34" s="154"/>
      <c r="R34" s="154"/>
      <c r="S34" s="154"/>
    </row>
  </sheetData>
  <mergeCells count="5">
    <mergeCell ref="B4:Q4"/>
    <mergeCell ref="S4:AH4"/>
    <mergeCell ref="B5:Q5"/>
    <mergeCell ref="S5:AH5"/>
    <mergeCell ref="AJ5:AY5"/>
  </mergeCells>
  <pageMargins left="0.19685039370078741" right="0.19685039370078741" top="0.55118110236220474" bottom="0" header="0" footer="0"/>
  <pageSetup paperSize="9" scale="53" orientation="landscape" r:id="rId1"/>
  <headerFooter alignWithMargins="0"/>
  <ignoredErrors>
    <ignoredError sqref="Q9:Q22 Q23 K22:P22 R22:AY22 AH9:AY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83"/>
  <sheetViews>
    <sheetView zoomScaleNormal="100" workbookViewId="0">
      <selection activeCell="C10" sqref="C10"/>
    </sheetView>
  </sheetViews>
  <sheetFormatPr defaultColWidth="9.1796875" defaultRowHeight="12.5" x14ac:dyDescent="0.25"/>
  <cols>
    <col min="1" max="1" width="30.54296875" style="155" customWidth="1"/>
    <col min="2" max="2" width="10.81640625" style="155" customWidth="1"/>
    <col min="3" max="3" width="3.7265625" style="155" customWidth="1"/>
    <col min="4" max="4" width="10.81640625" style="155" customWidth="1"/>
    <col min="5" max="5" width="3.7265625" style="155" customWidth="1"/>
    <col min="6" max="6" width="13.7265625" style="156" customWidth="1"/>
    <col min="7" max="7" width="13.7265625" style="156" bestFit="1" customWidth="1"/>
    <col min="8" max="8" width="9.1796875" style="155"/>
    <col min="9" max="9" width="19.1796875" style="155" customWidth="1"/>
    <col min="10" max="10" width="26.26953125" style="155" customWidth="1"/>
    <col min="11" max="11" width="11.1796875" style="155" customWidth="1"/>
    <col min="12" max="256" width="9.1796875" style="155"/>
    <col min="257" max="257" width="30.54296875" style="155" customWidth="1"/>
    <col min="258" max="258" width="10.81640625" style="155" customWidth="1"/>
    <col min="259" max="259" width="3.7265625" style="155" customWidth="1"/>
    <col min="260" max="260" width="10.81640625" style="155" customWidth="1"/>
    <col min="261" max="261" width="3.7265625" style="155" customWidth="1"/>
    <col min="262" max="262" width="13.7265625" style="155" customWidth="1"/>
    <col min="263" max="263" width="13.7265625" style="155" bestFit="1" customWidth="1"/>
    <col min="264" max="264" width="9.1796875" style="155"/>
    <col min="265" max="265" width="19.1796875" style="155" customWidth="1"/>
    <col min="266" max="266" width="26.26953125" style="155" customWidth="1"/>
    <col min="267" max="267" width="11.1796875" style="155" customWidth="1"/>
    <col min="268" max="512" width="9.1796875" style="155"/>
    <col min="513" max="513" width="30.54296875" style="155" customWidth="1"/>
    <col min="514" max="514" width="10.81640625" style="155" customWidth="1"/>
    <col min="515" max="515" width="3.7265625" style="155" customWidth="1"/>
    <col min="516" max="516" width="10.81640625" style="155" customWidth="1"/>
    <col min="517" max="517" width="3.7265625" style="155" customWidth="1"/>
    <col min="518" max="518" width="13.7265625" style="155" customWidth="1"/>
    <col min="519" max="519" width="13.7265625" style="155" bestFit="1" customWidth="1"/>
    <col min="520" max="520" width="9.1796875" style="155"/>
    <col min="521" max="521" width="19.1796875" style="155" customWidth="1"/>
    <col min="522" max="522" width="26.26953125" style="155" customWidth="1"/>
    <col min="523" max="523" width="11.1796875" style="155" customWidth="1"/>
    <col min="524" max="768" width="9.1796875" style="155"/>
    <col min="769" max="769" width="30.54296875" style="155" customWidth="1"/>
    <col min="770" max="770" width="10.81640625" style="155" customWidth="1"/>
    <col min="771" max="771" width="3.7265625" style="155" customWidth="1"/>
    <col min="772" max="772" width="10.81640625" style="155" customWidth="1"/>
    <col min="773" max="773" width="3.7265625" style="155" customWidth="1"/>
    <col min="774" max="774" width="13.7265625" style="155" customWidth="1"/>
    <col min="775" max="775" width="13.7265625" style="155" bestFit="1" customWidth="1"/>
    <col min="776" max="776" width="9.1796875" style="155"/>
    <col min="777" max="777" width="19.1796875" style="155" customWidth="1"/>
    <col min="778" max="778" width="26.26953125" style="155" customWidth="1"/>
    <col min="779" max="779" width="11.1796875" style="155" customWidth="1"/>
    <col min="780" max="1024" width="9.1796875" style="155"/>
    <col min="1025" max="1025" width="30.54296875" style="155" customWidth="1"/>
    <col min="1026" max="1026" width="10.81640625" style="155" customWidth="1"/>
    <col min="1027" max="1027" width="3.7265625" style="155" customWidth="1"/>
    <col min="1028" max="1028" width="10.81640625" style="155" customWidth="1"/>
    <col min="1029" max="1029" width="3.7265625" style="155" customWidth="1"/>
    <col min="1030" max="1030" width="13.7265625" style="155" customWidth="1"/>
    <col min="1031" max="1031" width="13.7265625" style="155" bestFit="1" customWidth="1"/>
    <col min="1032" max="1032" width="9.1796875" style="155"/>
    <col min="1033" max="1033" width="19.1796875" style="155" customWidth="1"/>
    <col min="1034" max="1034" width="26.26953125" style="155" customWidth="1"/>
    <col min="1035" max="1035" width="11.1796875" style="155" customWidth="1"/>
    <col min="1036" max="1280" width="9.1796875" style="155"/>
    <col min="1281" max="1281" width="30.54296875" style="155" customWidth="1"/>
    <col min="1282" max="1282" width="10.81640625" style="155" customWidth="1"/>
    <col min="1283" max="1283" width="3.7265625" style="155" customWidth="1"/>
    <col min="1284" max="1284" width="10.81640625" style="155" customWidth="1"/>
    <col min="1285" max="1285" width="3.7265625" style="155" customWidth="1"/>
    <col min="1286" max="1286" width="13.7265625" style="155" customWidth="1"/>
    <col min="1287" max="1287" width="13.7265625" style="155" bestFit="1" customWidth="1"/>
    <col min="1288" max="1288" width="9.1796875" style="155"/>
    <col min="1289" max="1289" width="19.1796875" style="155" customWidth="1"/>
    <col min="1290" max="1290" width="26.26953125" style="155" customWidth="1"/>
    <col min="1291" max="1291" width="11.1796875" style="155" customWidth="1"/>
    <col min="1292" max="1536" width="9.1796875" style="155"/>
    <col min="1537" max="1537" width="30.54296875" style="155" customWidth="1"/>
    <col min="1538" max="1538" width="10.81640625" style="155" customWidth="1"/>
    <col min="1539" max="1539" width="3.7265625" style="155" customWidth="1"/>
    <col min="1540" max="1540" width="10.81640625" style="155" customWidth="1"/>
    <col min="1541" max="1541" width="3.7265625" style="155" customWidth="1"/>
    <col min="1542" max="1542" width="13.7265625" style="155" customWidth="1"/>
    <col min="1543" max="1543" width="13.7265625" style="155" bestFit="1" customWidth="1"/>
    <col min="1544" max="1544" width="9.1796875" style="155"/>
    <col min="1545" max="1545" width="19.1796875" style="155" customWidth="1"/>
    <col min="1546" max="1546" width="26.26953125" style="155" customWidth="1"/>
    <col min="1547" max="1547" width="11.1796875" style="155" customWidth="1"/>
    <col min="1548" max="1792" width="9.1796875" style="155"/>
    <col min="1793" max="1793" width="30.54296875" style="155" customWidth="1"/>
    <col min="1794" max="1794" width="10.81640625" style="155" customWidth="1"/>
    <col min="1795" max="1795" width="3.7265625" style="155" customWidth="1"/>
    <col min="1796" max="1796" width="10.81640625" style="155" customWidth="1"/>
    <col min="1797" max="1797" width="3.7265625" style="155" customWidth="1"/>
    <col min="1798" max="1798" width="13.7265625" style="155" customWidth="1"/>
    <col min="1799" max="1799" width="13.7265625" style="155" bestFit="1" customWidth="1"/>
    <col min="1800" max="1800" width="9.1796875" style="155"/>
    <col min="1801" max="1801" width="19.1796875" style="155" customWidth="1"/>
    <col min="1802" max="1802" width="26.26953125" style="155" customWidth="1"/>
    <col min="1803" max="1803" width="11.1796875" style="155" customWidth="1"/>
    <col min="1804" max="2048" width="9.1796875" style="155"/>
    <col min="2049" max="2049" width="30.54296875" style="155" customWidth="1"/>
    <col min="2050" max="2050" width="10.81640625" style="155" customWidth="1"/>
    <col min="2051" max="2051" width="3.7265625" style="155" customWidth="1"/>
    <col min="2052" max="2052" width="10.81640625" style="155" customWidth="1"/>
    <col min="2053" max="2053" width="3.7265625" style="155" customWidth="1"/>
    <col min="2054" max="2054" width="13.7265625" style="155" customWidth="1"/>
    <col min="2055" max="2055" width="13.7265625" style="155" bestFit="1" customWidth="1"/>
    <col min="2056" max="2056" width="9.1796875" style="155"/>
    <col min="2057" max="2057" width="19.1796875" style="155" customWidth="1"/>
    <col min="2058" max="2058" width="26.26953125" style="155" customWidth="1"/>
    <col min="2059" max="2059" width="11.1796875" style="155" customWidth="1"/>
    <col min="2060" max="2304" width="9.1796875" style="155"/>
    <col min="2305" max="2305" width="30.54296875" style="155" customWidth="1"/>
    <col min="2306" max="2306" width="10.81640625" style="155" customWidth="1"/>
    <col min="2307" max="2307" width="3.7265625" style="155" customWidth="1"/>
    <col min="2308" max="2308" width="10.81640625" style="155" customWidth="1"/>
    <col min="2309" max="2309" width="3.7265625" style="155" customWidth="1"/>
    <col min="2310" max="2310" width="13.7265625" style="155" customWidth="1"/>
    <col min="2311" max="2311" width="13.7265625" style="155" bestFit="1" customWidth="1"/>
    <col min="2312" max="2312" width="9.1796875" style="155"/>
    <col min="2313" max="2313" width="19.1796875" style="155" customWidth="1"/>
    <col min="2314" max="2314" width="26.26953125" style="155" customWidth="1"/>
    <col min="2315" max="2315" width="11.1796875" style="155" customWidth="1"/>
    <col min="2316" max="2560" width="9.1796875" style="155"/>
    <col min="2561" max="2561" width="30.54296875" style="155" customWidth="1"/>
    <col min="2562" max="2562" width="10.81640625" style="155" customWidth="1"/>
    <col min="2563" max="2563" width="3.7265625" style="155" customWidth="1"/>
    <col min="2564" max="2564" width="10.81640625" style="155" customWidth="1"/>
    <col min="2565" max="2565" width="3.7265625" style="155" customWidth="1"/>
    <col min="2566" max="2566" width="13.7265625" style="155" customWidth="1"/>
    <col min="2567" max="2567" width="13.7265625" style="155" bestFit="1" customWidth="1"/>
    <col min="2568" max="2568" width="9.1796875" style="155"/>
    <col min="2569" max="2569" width="19.1796875" style="155" customWidth="1"/>
    <col min="2570" max="2570" width="26.26953125" style="155" customWidth="1"/>
    <col min="2571" max="2571" width="11.1796875" style="155" customWidth="1"/>
    <col min="2572" max="2816" width="9.1796875" style="155"/>
    <col min="2817" max="2817" width="30.54296875" style="155" customWidth="1"/>
    <col min="2818" max="2818" width="10.81640625" style="155" customWidth="1"/>
    <col min="2819" max="2819" width="3.7265625" style="155" customWidth="1"/>
    <col min="2820" max="2820" width="10.81640625" style="155" customWidth="1"/>
    <col min="2821" max="2821" width="3.7265625" style="155" customWidth="1"/>
    <col min="2822" max="2822" width="13.7265625" style="155" customWidth="1"/>
    <col min="2823" max="2823" width="13.7265625" style="155" bestFit="1" customWidth="1"/>
    <col min="2824" max="2824" width="9.1796875" style="155"/>
    <col min="2825" max="2825" width="19.1796875" style="155" customWidth="1"/>
    <col min="2826" max="2826" width="26.26953125" style="155" customWidth="1"/>
    <col min="2827" max="2827" width="11.1796875" style="155" customWidth="1"/>
    <col min="2828" max="3072" width="9.1796875" style="155"/>
    <col min="3073" max="3073" width="30.54296875" style="155" customWidth="1"/>
    <col min="3074" max="3074" width="10.81640625" style="155" customWidth="1"/>
    <col min="3075" max="3075" width="3.7265625" style="155" customWidth="1"/>
    <col min="3076" max="3076" width="10.81640625" style="155" customWidth="1"/>
    <col min="3077" max="3077" width="3.7265625" style="155" customWidth="1"/>
    <col min="3078" max="3078" width="13.7265625" style="155" customWidth="1"/>
    <col min="3079" max="3079" width="13.7265625" style="155" bestFit="1" customWidth="1"/>
    <col min="3080" max="3080" width="9.1796875" style="155"/>
    <col min="3081" max="3081" width="19.1796875" style="155" customWidth="1"/>
    <col min="3082" max="3082" width="26.26953125" style="155" customWidth="1"/>
    <col min="3083" max="3083" width="11.1796875" style="155" customWidth="1"/>
    <col min="3084" max="3328" width="9.1796875" style="155"/>
    <col min="3329" max="3329" width="30.54296875" style="155" customWidth="1"/>
    <col min="3330" max="3330" width="10.81640625" style="155" customWidth="1"/>
    <col min="3331" max="3331" width="3.7265625" style="155" customWidth="1"/>
    <col min="3332" max="3332" width="10.81640625" style="155" customWidth="1"/>
    <col min="3333" max="3333" width="3.7265625" style="155" customWidth="1"/>
    <col min="3334" max="3334" width="13.7265625" style="155" customWidth="1"/>
    <col min="3335" max="3335" width="13.7265625" style="155" bestFit="1" customWidth="1"/>
    <col min="3336" max="3336" width="9.1796875" style="155"/>
    <col min="3337" max="3337" width="19.1796875" style="155" customWidth="1"/>
    <col min="3338" max="3338" width="26.26953125" style="155" customWidth="1"/>
    <col min="3339" max="3339" width="11.1796875" style="155" customWidth="1"/>
    <col min="3340" max="3584" width="9.1796875" style="155"/>
    <col min="3585" max="3585" width="30.54296875" style="155" customWidth="1"/>
    <col min="3586" max="3586" width="10.81640625" style="155" customWidth="1"/>
    <col min="3587" max="3587" width="3.7265625" style="155" customWidth="1"/>
    <col min="3588" max="3588" width="10.81640625" style="155" customWidth="1"/>
    <col min="3589" max="3589" width="3.7265625" style="155" customWidth="1"/>
    <col min="3590" max="3590" width="13.7265625" style="155" customWidth="1"/>
    <col min="3591" max="3591" width="13.7265625" style="155" bestFit="1" customWidth="1"/>
    <col min="3592" max="3592" width="9.1796875" style="155"/>
    <col min="3593" max="3593" width="19.1796875" style="155" customWidth="1"/>
    <col min="3594" max="3594" width="26.26953125" style="155" customWidth="1"/>
    <col min="3595" max="3595" width="11.1796875" style="155" customWidth="1"/>
    <col min="3596" max="3840" width="9.1796875" style="155"/>
    <col min="3841" max="3841" width="30.54296875" style="155" customWidth="1"/>
    <col min="3842" max="3842" width="10.81640625" style="155" customWidth="1"/>
    <col min="3843" max="3843" width="3.7265625" style="155" customWidth="1"/>
    <col min="3844" max="3844" width="10.81640625" style="155" customWidth="1"/>
    <col min="3845" max="3845" width="3.7265625" style="155" customWidth="1"/>
    <col min="3846" max="3846" width="13.7265625" style="155" customWidth="1"/>
    <col min="3847" max="3847" width="13.7265625" style="155" bestFit="1" customWidth="1"/>
    <col min="3848" max="3848" width="9.1796875" style="155"/>
    <col min="3849" max="3849" width="19.1796875" style="155" customWidth="1"/>
    <col min="3850" max="3850" width="26.26953125" style="155" customWidth="1"/>
    <col min="3851" max="3851" width="11.1796875" style="155" customWidth="1"/>
    <col min="3852" max="4096" width="9.1796875" style="155"/>
    <col min="4097" max="4097" width="30.54296875" style="155" customWidth="1"/>
    <col min="4098" max="4098" width="10.81640625" style="155" customWidth="1"/>
    <col min="4099" max="4099" width="3.7265625" style="155" customWidth="1"/>
    <col min="4100" max="4100" width="10.81640625" style="155" customWidth="1"/>
    <col min="4101" max="4101" width="3.7265625" style="155" customWidth="1"/>
    <col min="4102" max="4102" width="13.7265625" style="155" customWidth="1"/>
    <col min="4103" max="4103" width="13.7265625" style="155" bestFit="1" customWidth="1"/>
    <col min="4104" max="4104" width="9.1796875" style="155"/>
    <col min="4105" max="4105" width="19.1796875" style="155" customWidth="1"/>
    <col min="4106" max="4106" width="26.26953125" style="155" customWidth="1"/>
    <col min="4107" max="4107" width="11.1796875" style="155" customWidth="1"/>
    <col min="4108" max="4352" width="9.1796875" style="155"/>
    <col min="4353" max="4353" width="30.54296875" style="155" customWidth="1"/>
    <col min="4354" max="4354" width="10.81640625" style="155" customWidth="1"/>
    <col min="4355" max="4355" width="3.7265625" style="155" customWidth="1"/>
    <col min="4356" max="4356" width="10.81640625" style="155" customWidth="1"/>
    <col min="4357" max="4357" width="3.7265625" style="155" customWidth="1"/>
    <col min="4358" max="4358" width="13.7265625" style="155" customWidth="1"/>
    <col min="4359" max="4359" width="13.7265625" style="155" bestFit="1" customWidth="1"/>
    <col min="4360" max="4360" width="9.1796875" style="155"/>
    <col min="4361" max="4361" width="19.1796875" style="155" customWidth="1"/>
    <col min="4362" max="4362" width="26.26953125" style="155" customWidth="1"/>
    <col min="4363" max="4363" width="11.1796875" style="155" customWidth="1"/>
    <col min="4364" max="4608" width="9.1796875" style="155"/>
    <col min="4609" max="4609" width="30.54296875" style="155" customWidth="1"/>
    <col min="4610" max="4610" width="10.81640625" style="155" customWidth="1"/>
    <col min="4611" max="4611" width="3.7265625" style="155" customWidth="1"/>
    <col min="4612" max="4612" width="10.81640625" style="155" customWidth="1"/>
    <col min="4613" max="4613" width="3.7265625" style="155" customWidth="1"/>
    <col min="4614" max="4614" width="13.7265625" style="155" customWidth="1"/>
    <col min="4615" max="4615" width="13.7265625" style="155" bestFit="1" customWidth="1"/>
    <col min="4616" max="4616" width="9.1796875" style="155"/>
    <col min="4617" max="4617" width="19.1796875" style="155" customWidth="1"/>
    <col min="4618" max="4618" width="26.26953125" style="155" customWidth="1"/>
    <col min="4619" max="4619" width="11.1796875" style="155" customWidth="1"/>
    <col min="4620" max="4864" width="9.1796875" style="155"/>
    <col min="4865" max="4865" width="30.54296875" style="155" customWidth="1"/>
    <col min="4866" max="4866" width="10.81640625" style="155" customWidth="1"/>
    <col min="4867" max="4867" width="3.7265625" style="155" customWidth="1"/>
    <col min="4868" max="4868" width="10.81640625" style="155" customWidth="1"/>
    <col min="4869" max="4869" width="3.7265625" style="155" customWidth="1"/>
    <col min="4870" max="4870" width="13.7265625" style="155" customWidth="1"/>
    <col min="4871" max="4871" width="13.7265625" style="155" bestFit="1" customWidth="1"/>
    <col min="4872" max="4872" width="9.1796875" style="155"/>
    <col min="4873" max="4873" width="19.1796875" style="155" customWidth="1"/>
    <col min="4874" max="4874" width="26.26953125" style="155" customWidth="1"/>
    <col min="4875" max="4875" width="11.1796875" style="155" customWidth="1"/>
    <col min="4876" max="5120" width="9.1796875" style="155"/>
    <col min="5121" max="5121" width="30.54296875" style="155" customWidth="1"/>
    <col min="5122" max="5122" width="10.81640625" style="155" customWidth="1"/>
    <col min="5123" max="5123" width="3.7265625" style="155" customWidth="1"/>
    <col min="5124" max="5124" width="10.81640625" style="155" customWidth="1"/>
    <col min="5125" max="5125" width="3.7265625" style="155" customWidth="1"/>
    <col min="5126" max="5126" width="13.7265625" style="155" customWidth="1"/>
    <col min="5127" max="5127" width="13.7265625" style="155" bestFit="1" customWidth="1"/>
    <col min="5128" max="5128" width="9.1796875" style="155"/>
    <col min="5129" max="5129" width="19.1796875" style="155" customWidth="1"/>
    <col min="5130" max="5130" width="26.26953125" style="155" customWidth="1"/>
    <col min="5131" max="5131" width="11.1796875" style="155" customWidth="1"/>
    <col min="5132" max="5376" width="9.1796875" style="155"/>
    <col min="5377" max="5377" width="30.54296875" style="155" customWidth="1"/>
    <col min="5378" max="5378" width="10.81640625" style="155" customWidth="1"/>
    <col min="5379" max="5379" width="3.7265625" style="155" customWidth="1"/>
    <col min="5380" max="5380" width="10.81640625" style="155" customWidth="1"/>
    <col min="5381" max="5381" width="3.7265625" style="155" customWidth="1"/>
    <col min="5382" max="5382" width="13.7265625" style="155" customWidth="1"/>
    <col min="5383" max="5383" width="13.7265625" style="155" bestFit="1" customWidth="1"/>
    <col min="5384" max="5384" width="9.1796875" style="155"/>
    <col min="5385" max="5385" width="19.1796875" style="155" customWidth="1"/>
    <col min="5386" max="5386" width="26.26953125" style="155" customWidth="1"/>
    <col min="5387" max="5387" width="11.1796875" style="155" customWidth="1"/>
    <col min="5388" max="5632" width="9.1796875" style="155"/>
    <col min="5633" max="5633" width="30.54296875" style="155" customWidth="1"/>
    <col min="5634" max="5634" width="10.81640625" style="155" customWidth="1"/>
    <col min="5635" max="5635" width="3.7265625" style="155" customWidth="1"/>
    <col min="5636" max="5636" width="10.81640625" style="155" customWidth="1"/>
    <col min="5637" max="5637" width="3.7265625" style="155" customWidth="1"/>
    <col min="5638" max="5638" width="13.7265625" style="155" customWidth="1"/>
    <col min="5639" max="5639" width="13.7265625" style="155" bestFit="1" customWidth="1"/>
    <col min="5640" max="5640" width="9.1796875" style="155"/>
    <col min="5641" max="5641" width="19.1796875" style="155" customWidth="1"/>
    <col min="5642" max="5642" width="26.26953125" style="155" customWidth="1"/>
    <col min="5643" max="5643" width="11.1796875" style="155" customWidth="1"/>
    <col min="5644" max="5888" width="9.1796875" style="155"/>
    <col min="5889" max="5889" width="30.54296875" style="155" customWidth="1"/>
    <col min="5890" max="5890" width="10.81640625" style="155" customWidth="1"/>
    <col min="5891" max="5891" width="3.7265625" style="155" customWidth="1"/>
    <col min="5892" max="5892" width="10.81640625" style="155" customWidth="1"/>
    <col min="5893" max="5893" width="3.7265625" style="155" customWidth="1"/>
    <col min="5894" max="5894" width="13.7265625" style="155" customWidth="1"/>
    <col min="5895" max="5895" width="13.7265625" style="155" bestFit="1" customWidth="1"/>
    <col min="5896" max="5896" width="9.1796875" style="155"/>
    <col min="5897" max="5897" width="19.1796875" style="155" customWidth="1"/>
    <col min="5898" max="5898" width="26.26953125" style="155" customWidth="1"/>
    <col min="5899" max="5899" width="11.1796875" style="155" customWidth="1"/>
    <col min="5900" max="6144" width="9.1796875" style="155"/>
    <col min="6145" max="6145" width="30.54296875" style="155" customWidth="1"/>
    <col min="6146" max="6146" width="10.81640625" style="155" customWidth="1"/>
    <col min="6147" max="6147" width="3.7265625" style="155" customWidth="1"/>
    <col min="6148" max="6148" width="10.81640625" style="155" customWidth="1"/>
    <col min="6149" max="6149" width="3.7265625" style="155" customWidth="1"/>
    <col min="6150" max="6150" width="13.7265625" style="155" customWidth="1"/>
    <col min="6151" max="6151" width="13.7265625" style="155" bestFit="1" customWidth="1"/>
    <col min="6152" max="6152" width="9.1796875" style="155"/>
    <col min="6153" max="6153" width="19.1796875" style="155" customWidth="1"/>
    <col min="6154" max="6154" width="26.26953125" style="155" customWidth="1"/>
    <col min="6155" max="6155" width="11.1796875" style="155" customWidth="1"/>
    <col min="6156" max="6400" width="9.1796875" style="155"/>
    <col min="6401" max="6401" width="30.54296875" style="155" customWidth="1"/>
    <col min="6402" max="6402" width="10.81640625" style="155" customWidth="1"/>
    <col min="6403" max="6403" width="3.7265625" style="155" customWidth="1"/>
    <col min="6404" max="6404" width="10.81640625" style="155" customWidth="1"/>
    <col min="6405" max="6405" width="3.7265625" style="155" customWidth="1"/>
    <col min="6406" max="6406" width="13.7265625" style="155" customWidth="1"/>
    <col min="6407" max="6407" width="13.7265625" style="155" bestFit="1" customWidth="1"/>
    <col min="6408" max="6408" width="9.1796875" style="155"/>
    <col min="6409" max="6409" width="19.1796875" style="155" customWidth="1"/>
    <col min="6410" max="6410" width="26.26953125" style="155" customWidth="1"/>
    <col min="6411" max="6411" width="11.1796875" style="155" customWidth="1"/>
    <col min="6412" max="6656" width="9.1796875" style="155"/>
    <col min="6657" max="6657" width="30.54296875" style="155" customWidth="1"/>
    <col min="6658" max="6658" width="10.81640625" style="155" customWidth="1"/>
    <col min="6659" max="6659" width="3.7265625" style="155" customWidth="1"/>
    <col min="6660" max="6660" width="10.81640625" style="155" customWidth="1"/>
    <col min="6661" max="6661" width="3.7265625" style="155" customWidth="1"/>
    <col min="6662" max="6662" width="13.7265625" style="155" customWidth="1"/>
    <col min="6663" max="6663" width="13.7265625" style="155" bestFit="1" customWidth="1"/>
    <col min="6664" max="6664" width="9.1796875" style="155"/>
    <col min="6665" max="6665" width="19.1796875" style="155" customWidth="1"/>
    <col min="6666" max="6666" width="26.26953125" style="155" customWidth="1"/>
    <col min="6667" max="6667" width="11.1796875" style="155" customWidth="1"/>
    <col min="6668" max="6912" width="9.1796875" style="155"/>
    <col min="6913" max="6913" width="30.54296875" style="155" customWidth="1"/>
    <col min="6914" max="6914" width="10.81640625" style="155" customWidth="1"/>
    <col min="6915" max="6915" width="3.7265625" style="155" customWidth="1"/>
    <col min="6916" max="6916" width="10.81640625" style="155" customWidth="1"/>
    <col min="6917" max="6917" width="3.7265625" style="155" customWidth="1"/>
    <col min="6918" max="6918" width="13.7265625" style="155" customWidth="1"/>
    <col min="6919" max="6919" width="13.7265625" style="155" bestFit="1" customWidth="1"/>
    <col min="6920" max="6920" width="9.1796875" style="155"/>
    <col min="6921" max="6921" width="19.1796875" style="155" customWidth="1"/>
    <col min="6922" max="6922" width="26.26953125" style="155" customWidth="1"/>
    <col min="6923" max="6923" width="11.1796875" style="155" customWidth="1"/>
    <col min="6924" max="7168" width="9.1796875" style="155"/>
    <col min="7169" max="7169" width="30.54296875" style="155" customWidth="1"/>
    <col min="7170" max="7170" width="10.81640625" style="155" customWidth="1"/>
    <col min="7171" max="7171" width="3.7265625" style="155" customWidth="1"/>
    <col min="7172" max="7172" width="10.81640625" style="155" customWidth="1"/>
    <col min="7173" max="7173" width="3.7265625" style="155" customWidth="1"/>
    <col min="7174" max="7174" width="13.7265625" style="155" customWidth="1"/>
    <col min="7175" max="7175" width="13.7265625" style="155" bestFit="1" customWidth="1"/>
    <col min="7176" max="7176" width="9.1796875" style="155"/>
    <col min="7177" max="7177" width="19.1796875" style="155" customWidth="1"/>
    <col min="7178" max="7178" width="26.26953125" style="155" customWidth="1"/>
    <col min="7179" max="7179" width="11.1796875" style="155" customWidth="1"/>
    <col min="7180" max="7424" width="9.1796875" style="155"/>
    <col min="7425" max="7425" width="30.54296875" style="155" customWidth="1"/>
    <col min="7426" max="7426" width="10.81640625" style="155" customWidth="1"/>
    <col min="7427" max="7427" width="3.7265625" style="155" customWidth="1"/>
    <col min="7428" max="7428" width="10.81640625" style="155" customWidth="1"/>
    <col min="7429" max="7429" width="3.7265625" style="155" customWidth="1"/>
    <col min="7430" max="7430" width="13.7265625" style="155" customWidth="1"/>
    <col min="7431" max="7431" width="13.7265625" style="155" bestFit="1" customWidth="1"/>
    <col min="7432" max="7432" width="9.1796875" style="155"/>
    <col min="7433" max="7433" width="19.1796875" style="155" customWidth="1"/>
    <col min="7434" max="7434" width="26.26953125" style="155" customWidth="1"/>
    <col min="7435" max="7435" width="11.1796875" style="155" customWidth="1"/>
    <col min="7436" max="7680" width="9.1796875" style="155"/>
    <col min="7681" max="7681" width="30.54296875" style="155" customWidth="1"/>
    <col min="7682" max="7682" width="10.81640625" style="155" customWidth="1"/>
    <col min="7683" max="7683" width="3.7265625" style="155" customWidth="1"/>
    <col min="7684" max="7684" width="10.81640625" style="155" customWidth="1"/>
    <col min="7685" max="7685" width="3.7265625" style="155" customWidth="1"/>
    <col min="7686" max="7686" width="13.7265625" style="155" customWidth="1"/>
    <col min="7687" max="7687" width="13.7265625" style="155" bestFit="1" customWidth="1"/>
    <col min="7688" max="7688" width="9.1796875" style="155"/>
    <col min="7689" max="7689" width="19.1796875" style="155" customWidth="1"/>
    <col min="7690" max="7690" width="26.26953125" style="155" customWidth="1"/>
    <col min="7691" max="7691" width="11.1796875" style="155" customWidth="1"/>
    <col min="7692" max="7936" width="9.1796875" style="155"/>
    <col min="7937" max="7937" width="30.54296875" style="155" customWidth="1"/>
    <col min="7938" max="7938" width="10.81640625" style="155" customWidth="1"/>
    <col min="7939" max="7939" width="3.7265625" style="155" customWidth="1"/>
    <col min="7940" max="7940" width="10.81640625" style="155" customWidth="1"/>
    <col min="7941" max="7941" width="3.7265625" style="155" customWidth="1"/>
    <col min="7942" max="7942" width="13.7265625" style="155" customWidth="1"/>
    <col min="7943" max="7943" width="13.7265625" style="155" bestFit="1" customWidth="1"/>
    <col min="7944" max="7944" width="9.1796875" style="155"/>
    <col min="7945" max="7945" width="19.1796875" style="155" customWidth="1"/>
    <col min="7946" max="7946" width="26.26953125" style="155" customWidth="1"/>
    <col min="7947" max="7947" width="11.1796875" style="155" customWidth="1"/>
    <col min="7948" max="8192" width="9.1796875" style="155"/>
    <col min="8193" max="8193" width="30.54296875" style="155" customWidth="1"/>
    <col min="8194" max="8194" width="10.81640625" style="155" customWidth="1"/>
    <col min="8195" max="8195" width="3.7265625" style="155" customWidth="1"/>
    <col min="8196" max="8196" width="10.81640625" style="155" customWidth="1"/>
    <col min="8197" max="8197" width="3.7265625" style="155" customWidth="1"/>
    <col min="8198" max="8198" width="13.7265625" style="155" customWidth="1"/>
    <col min="8199" max="8199" width="13.7265625" style="155" bestFit="1" customWidth="1"/>
    <col min="8200" max="8200" width="9.1796875" style="155"/>
    <col min="8201" max="8201" width="19.1796875" style="155" customWidth="1"/>
    <col min="8202" max="8202" width="26.26953125" style="155" customWidth="1"/>
    <col min="8203" max="8203" width="11.1796875" style="155" customWidth="1"/>
    <col min="8204" max="8448" width="9.1796875" style="155"/>
    <col min="8449" max="8449" width="30.54296875" style="155" customWidth="1"/>
    <col min="8450" max="8450" width="10.81640625" style="155" customWidth="1"/>
    <col min="8451" max="8451" width="3.7265625" style="155" customWidth="1"/>
    <col min="8452" max="8452" width="10.81640625" style="155" customWidth="1"/>
    <col min="8453" max="8453" width="3.7265625" style="155" customWidth="1"/>
    <col min="8454" max="8454" width="13.7265625" style="155" customWidth="1"/>
    <col min="8455" max="8455" width="13.7265625" style="155" bestFit="1" customWidth="1"/>
    <col min="8456" max="8456" width="9.1796875" style="155"/>
    <col min="8457" max="8457" width="19.1796875" style="155" customWidth="1"/>
    <col min="8458" max="8458" width="26.26953125" style="155" customWidth="1"/>
    <col min="8459" max="8459" width="11.1796875" style="155" customWidth="1"/>
    <col min="8460" max="8704" width="9.1796875" style="155"/>
    <col min="8705" max="8705" width="30.54296875" style="155" customWidth="1"/>
    <col min="8706" max="8706" width="10.81640625" style="155" customWidth="1"/>
    <col min="8707" max="8707" width="3.7265625" style="155" customWidth="1"/>
    <col min="8708" max="8708" width="10.81640625" style="155" customWidth="1"/>
    <col min="8709" max="8709" width="3.7265625" style="155" customWidth="1"/>
    <col min="8710" max="8710" width="13.7265625" style="155" customWidth="1"/>
    <col min="8711" max="8711" width="13.7265625" style="155" bestFit="1" customWidth="1"/>
    <col min="8712" max="8712" width="9.1796875" style="155"/>
    <col min="8713" max="8713" width="19.1796875" style="155" customWidth="1"/>
    <col min="8714" max="8714" width="26.26953125" style="155" customWidth="1"/>
    <col min="8715" max="8715" width="11.1796875" style="155" customWidth="1"/>
    <col min="8716" max="8960" width="9.1796875" style="155"/>
    <col min="8961" max="8961" width="30.54296875" style="155" customWidth="1"/>
    <col min="8962" max="8962" width="10.81640625" style="155" customWidth="1"/>
    <col min="8963" max="8963" width="3.7265625" style="155" customWidth="1"/>
    <col min="8964" max="8964" width="10.81640625" style="155" customWidth="1"/>
    <col min="8965" max="8965" width="3.7265625" style="155" customWidth="1"/>
    <col min="8966" max="8966" width="13.7265625" style="155" customWidth="1"/>
    <col min="8967" max="8967" width="13.7265625" style="155" bestFit="1" customWidth="1"/>
    <col min="8968" max="8968" width="9.1796875" style="155"/>
    <col min="8969" max="8969" width="19.1796875" style="155" customWidth="1"/>
    <col min="8970" max="8970" width="26.26953125" style="155" customWidth="1"/>
    <col min="8971" max="8971" width="11.1796875" style="155" customWidth="1"/>
    <col min="8972" max="9216" width="9.1796875" style="155"/>
    <col min="9217" max="9217" width="30.54296875" style="155" customWidth="1"/>
    <col min="9218" max="9218" width="10.81640625" style="155" customWidth="1"/>
    <col min="9219" max="9219" width="3.7265625" style="155" customWidth="1"/>
    <col min="9220" max="9220" width="10.81640625" style="155" customWidth="1"/>
    <col min="9221" max="9221" width="3.7265625" style="155" customWidth="1"/>
    <col min="9222" max="9222" width="13.7265625" style="155" customWidth="1"/>
    <col min="9223" max="9223" width="13.7265625" style="155" bestFit="1" customWidth="1"/>
    <col min="9224" max="9224" width="9.1796875" style="155"/>
    <col min="9225" max="9225" width="19.1796875" style="155" customWidth="1"/>
    <col min="9226" max="9226" width="26.26953125" style="155" customWidth="1"/>
    <col min="9227" max="9227" width="11.1796875" style="155" customWidth="1"/>
    <col min="9228" max="9472" width="9.1796875" style="155"/>
    <col min="9473" max="9473" width="30.54296875" style="155" customWidth="1"/>
    <col min="9474" max="9474" width="10.81640625" style="155" customWidth="1"/>
    <col min="9475" max="9475" width="3.7265625" style="155" customWidth="1"/>
    <col min="9476" max="9476" width="10.81640625" style="155" customWidth="1"/>
    <col min="9477" max="9477" width="3.7265625" style="155" customWidth="1"/>
    <col min="9478" max="9478" width="13.7265625" style="155" customWidth="1"/>
    <col min="9479" max="9479" width="13.7265625" style="155" bestFit="1" customWidth="1"/>
    <col min="9480" max="9480" width="9.1796875" style="155"/>
    <col min="9481" max="9481" width="19.1796875" style="155" customWidth="1"/>
    <col min="9482" max="9482" width="26.26953125" style="155" customWidth="1"/>
    <col min="9483" max="9483" width="11.1796875" style="155" customWidth="1"/>
    <col min="9484" max="9728" width="9.1796875" style="155"/>
    <col min="9729" max="9729" width="30.54296875" style="155" customWidth="1"/>
    <col min="9730" max="9730" width="10.81640625" style="155" customWidth="1"/>
    <col min="9731" max="9731" width="3.7265625" style="155" customWidth="1"/>
    <col min="9732" max="9732" width="10.81640625" style="155" customWidth="1"/>
    <col min="9733" max="9733" width="3.7265625" style="155" customWidth="1"/>
    <col min="9734" max="9734" width="13.7265625" style="155" customWidth="1"/>
    <col min="9735" max="9735" width="13.7265625" style="155" bestFit="1" customWidth="1"/>
    <col min="9736" max="9736" width="9.1796875" style="155"/>
    <col min="9737" max="9737" width="19.1796875" style="155" customWidth="1"/>
    <col min="9738" max="9738" width="26.26953125" style="155" customWidth="1"/>
    <col min="9739" max="9739" width="11.1796875" style="155" customWidth="1"/>
    <col min="9740" max="9984" width="9.1796875" style="155"/>
    <col min="9985" max="9985" width="30.54296875" style="155" customWidth="1"/>
    <col min="9986" max="9986" width="10.81640625" style="155" customWidth="1"/>
    <col min="9987" max="9987" width="3.7265625" style="155" customWidth="1"/>
    <col min="9988" max="9988" width="10.81640625" style="155" customWidth="1"/>
    <col min="9989" max="9989" width="3.7265625" style="155" customWidth="1"/>
    <col min="9990" max="9990" width="13.7265625" style="155" customWidth="1"/>
    <col min="9991" max="9991" width="13.7265625" style="155" bestFit="1" customWidth="1"/>
    <col min="9992" max="9992" width="9.1796875" style="155"/>
    <col min="9993" max="9993" width="19.1796875" style="155" customWidth="1"/>
    <col min="9994" max="9994" width="26.26953125" style="155" customWidth="1"/>
    <col min="9995" max="9995" width="11.1796875" style="155" customWidth="1"/>
    <col min="9996" max="10240" width="9.1796875" style="155"/>
    <col min="10241" max="10241" width="30.54296875" style="155" customWidth="1"/>
    <col min="10242" max="10242" width="10.81640625" style="155" customWidth="1"/>
    <col min="10243" max="10243" width="3.7265625" style="155" customWidth="1"/>
    <col min="10244" max="10244" width="10.81640625" style="155" customWidth="1"/>
    <col min="10245" max="10245" width="3.7265625" style="155" customWidth="1"/>
    <col min="10246" max="10246" width="13.7265625" style="155" customWidth="1"/>
    <col min="10247" max="10247" width="13.7265625" style="155" bestFit="1" customWidth="1"/>
    <col min="10248" max="10248" width="9.1796875" style="155"/>
    <col min="10249" max="10249" width="19.1796875" style="155" customWidth="1"/>
    <col min="10250" max="10250" width="26.26953125" style="155" customWidth="1"/>
    <col min="10251" max="10251" width="11.1796875" style="155" customWidth="1"/>
    <col min="10252" max="10496" width="9.1796875" style="155"/>
    <col min="10497" max="10497" width="30.54296875" style="155" customWidth="1"/>
    <col min="10498" max="10498" width="10.81640625" style="155" customWidth="1"/>
    <col min="10499" max="10499" width="3.7265625" style="155" customWidth="1"/>
    <col min="10500" max="10500" width="10.81640625" style="155" customWidth="1"/>
    <col min="10501" max="10501" width="3.7265625" style="155" customWidth="1"/>
    <col min="10502" max="10502" width="13.7265625" style="155" customWidth="1"/>
    <col min="10503" max="10503" width="13.7265625" style="155" bestFit="1" customWidth="1"/>
    <col min="10504" max="10504" width="9.1796875" style="155"/>
    <col min="10505" max="10505" width="19.1796875" style="155" customWidth="1"/>
    <col min="10506" max="10506" width="26.26953125" style="155" customWidth="1"/>
    <col min="10507" max="10507" width="11.1796875" style="155" customWidth="1"/>
    <col min="10508" max="10752" width="9.1796875" style="155"/>
    <col min="10753" max="10753" width="30.54296875" style="155" customWidth="1"/>
    <col min="10754" max="10754" width="10.81640625" style="155" customWidth="1"/>
    <col min="10755" max="10755" width="3.7265625" style="155" customWidth="1"/>
    <col min="10756" max="10756" width="10.81640625" style="155" customWidth="1"/>
    <col min="10757" max="10757" width="3.7265625" style="155" customWidth="1"/>
    <col min="10758" max="10758" width="13.7265625" style="155" customWidth="1"/>
    <col min="10759" max="10759" width="13.7265625" style="155" bestFit="1" customWidth="1"/>
    <col min="10760" max="10760" width="9.1796875" style="155"/>
    <col min="10761" max="10761" width="19.1796875" style="155" customWidth="1"/>
    <col min="10762" max="10762" width="26.26953125" style="155" customWidth="1"/>
    <col min="10763" max="10763" width="11.1796875" style="155" customWidth="1"/>
    <col min="10764" max="11008" width="9.1796875" style="155"/>
    <col min="11009" max="11009" width="30.54296875" style="155" customWidth="1"/>
    <col min="11010" max="11010" width="10.81640625" style="155" customWidth="1"/>
    <col min="11011" max="11011" width="3.7265625" style="155" customWidth="1"/>
    <col min="11012" max="11012" width="10.81640625" style="155" customWidth="1"/>
    <col min="11013" max="11013" width="3.7265625" style="155" customWidth="1"/>
    <col min="11014" max="11014" width="13.7265625" style="155" customWidth="1"/>
    <col min="11015" max="11015" width="13.7265625" style="155" bestFit="1" customWidth="1"/>
    <col min="11016" max="11016" width="9.1796875" style="155"/>
    <col min="11017" max="11017" width="19.1796875" style="155" customWidth="1"/>
    <col min="11018" max="11018" width="26.26953125" style="155" customWidth="1"/>
    <col min="11019" max="11019" width="11.1796875" style="155" customWidth="1"/>
    <col min="11020" max="11264" width="9.1796875" style="155"/>
    <col min="11265" max="11265" width="30.54296875" style="155" customWidth="1"/>
    <col min="11266" max="11266" width="10.81640625" style="155" customWidth="1"/>
    <col min="11267" max="11267" width="3.7265625" style="155" customWidth="1"/>
    <col min="11268" max="11268" width="10.81640625" style="155" customWidth="1"/>
    <col min="11269" max="11269" width="3.7265625" style="155" customWidth="1"/>
    <col min="11270" max="11270" width="13.7265625" style="155" customWidth="1"/>
    <col min="11271" max="11271" width="13.7265625" style="155" bestFit="1" customWidth="1"/>
    <col min="11272" max="11272" width="9.1796875" style="155"/>
    <col min="11273" max="11273" width="19.1796875" style="155" customWidth="1"/>
    <col min="11274" max="11274" width="26.26953125" style="155" customWidth="1"/>
    <col min="11275" max="11275" width="11.1796875" style="155" customWidth="1"/>
    <col min="11276" max="11520" width="9.1796875" style="155"/>
    <col min="11521" max="11521" width="30.54296875" style="155" customWidth="1"/>
    <col min="11522" max="11522" width="10.81640625" style="155" customWidth="1"/>
    <col min="11523" max="11523" width="3.7265625" style="155" customWidth="1"/>
    <col min="11524" max="11524" width="10.81640625" style="155" customWidth="1"/>
    <col min="11525" max="11525" width="3.7265625" style="155" customWidth="1"/>
    <col min="11526" max="11526" width="13.7265625" style="155" customWidth="1"/>
    <col min="11527" max="11527" width="13.7265625" style="155" bestFit="1" customWidth="1"/>
    <col min="11528" max="11528" width="9.1796875" style="155"/>
    <col min="11529" max="11529" width="19.1796875" style="155" customWidth="1"/>
    <col min="11530" max="11530" width="26.26953125" style="155" customWidth="1"/>
    <col min="11531" max="11531" width="11.1796875" style="155" customWidth="1"/>
    <col min="11532" max="11776" width="9.1796875" style="155"/>
    <col min="11777" max="11777" width="30.54296875" style="155" customWidth="1"/>
    <col min="11778" max="11778" width="10.81640625" style="155" customWidth="1"/>
    <col min="11779" max="11779" width="3.7265625" style="155" customWidth="1"/>
    <col min="11780" max="11780" width="10.81640625" style="155" customWidth="1"/>
    <col min="11781" max="11781" width="3.7265625" style="155" customWidth="1"/>
    <col min="11782" max="11782" width="13.7265625" style="155" customWidth="1"/>
    <col min="11783" max="11783" width="13.7265625" style="155" bestFit="1" customWidth="1"/>
    <col min="11784" max="11784" width="9.1796875" style="155"/>
    <col min="11785" max="11785" width="19.1796875" style="155" customWidth="1"/>
    <col min="11786" max="11786" width="26.26953125" style="155" customWidth="1"/>
    <col min="11787" max="11787" width="11.1796875" style="155" customWidth="1"/>
    <col min="11788" max="12032" width="9.1796875" style="155"/>
    <col min="12033" max="12033" width="30.54296875" style="155" customWidth="1"/>
    <col min="12034" max="12034" width="10.81640625" style="155" customWidth="1"/>
    <col min="12035" max="12035" width="3.7265625" style="155" customWidth="1"/>
    <col min="12036" max="12036" width="10.81640625" style="155" customWidth="1"/>
    <col min="12037" max="12037" width="3.7265625" style="155" customWidth="1"/>
    <col min="12038" max="12038" width="13.7265625" style="155" customWidth="1"/>
    <col min="12039" max="12039" width="13.7265625" style="155" bestFit="1" customWidth="1"/>
    <col min="12040" max="12040" width="9.1796875" style="155"/>
    <col min="12041" max="12041" width="19.1796875" style="155" customWidth="1"/>
    <col min="12042" max="12042" width="26.26953125" style="155" customWidth="1"/>
    <col min="12043" max="12043" width="11.1796875" style="155" customWidth="1"/>
    <col min="12044" max="12288" width="9.1796875" style="155"/>
    <col min="12289" max="12289" width="30.54296875" style="155" customWidth="1"/>
    <col min="12290" max="12290" width="10.81640625" style="155" customWidth="1"/>
    <col min="12291" max="12291" width="3.7265625" style="155" customWidth="1"/>
    <col min="12292" max="12292" width="10.81640625" style="155" customWidth="1"/>
    <col min="12293" max="12293" width="3.7265625" style="155" customWidth="1"/>
    <col min="12294" max="12294" width="13.7265625" style="155" customWidth="1"/>
    <col min="12295" max="12295" width="13.7265625" style="155" bestFit="1" customWidth="1"/>
    <col min="12296" max="12296" width="9.1796875" style="155"/>
    <col min="12297" max="12297" width="19.1796875" style="155" customWidth="1"/>
    <col min="12298" max="12298" width="26.26953125" style="155" customWidth="1"/>
    <col min="12299" max="12299" width="11.1796875" style="155" customWidth="1"/>
    <col min="12300" max="12544" width="9.1796875" style="155"/>
    <col min="12545" max="12545" width="30.54296875" style="155" customWidth="1"/>
    <col min="12546" max="12546" width="10.81640625" style="155" customWidth="1"/>
    <col min="12547" max="12547" width="3.7265625" style="155" customWidth="1"/>
    <col min="12548" max="12548" width="10.81640625" style="155" customWidth="1"/>
    <col min="12549" max="12549" width="3.7265625" style="155" customWidth="1"/>
    <col min="12550" max="12550" width="13.7265625" style="155" customWidth="1"/>
    <col min="12551" max="12551" width="13.7265625" style="155" bestFit="1" customWidth="1"/>
    <col min="12552" max="12552" width="9.1796875" style="155"/>
    <col min="12553" max="12553" width="19.1796875" style="155" customWidth="1"/>
    <col min="12554" max="12554" width="26.26953125" style="155" customWidth="1"/>
    <col min="12555" max="12555" width="11.1796875" style="155" customWidth="1"/>
    <col min="12556" max="12800" width="9.1796875" style="155"/>
    <col min="12801" max="12801" width="30.54296875" style="155" customWidth="1"/>
    <col min="12802" max="12802" width="10.81640625" style="155" customWidth="1"/>
    <col min="12803" max="12803" width="3.7265625" style="155" customWidth="1"/>
    <col min="12804" max="12804" width="10.81640625" style="155" customWidth="1"/>
    <col min="12805" max="12805" width="3.7265625" style="155" customWidth="1"/>
    <col min="12806" max="12806" width="13.7265625" style="155" customWidth="1"/>
    <col min="12807" max="12807" width="13.7265625" style="155" bestFit="1" customWidth="1"/>
    <col min="12808" max="12808" width="9.1796875" style="155"/>
    <col min="12809" max="12809" width="19.1796875" style="155" customWidth="1"/>
    <col min="12810" max="12810" width="26.26953125" style="155" customWidth="1"/>
    <col min="12811" max="12811" width="11.1796875" style="155" customWidth="1"/>
    <col min="12812" max="13056" width="9.1796875" style="155"/>
    <col min="13057" max="13057" width="30.54296875" style="155" customWidth="1"/>
    <col min="13058" max="13058" width="10.81640625" style="155" customWidth="1"/>
    <col min="13059" max="13059" width="3.7265625" style="155" customWidth="1"/>
    <col min="13060" max="13060" width="10.81640625" style="155" customWidth="1"/>
    <col min="13061" max="13061" width="3.7265625" style="155" customWidth="1"/>
    <col min="13062" max="13062" width="13.7265625" style="155" customWidth="1"/>
    <col min="13063" max="13063" width="13.7265625" style="155" bestFit="1" customWidth="1"/>
    <col min="13064" max="13064" width="9.1796875" style="155"/>
    <col min="13065" max="13065" width="19.1796875" style="155" customWidth="1"/>
    <col min="13066" max="13066" width="26.26953125" style="155" customWidth="1"/>
    <col min="13067" max="13067" width="11.1796875" style="155" customWidth="1"/>
    <col min="13068" max="13312" width="9.1796875" style="155"/>
    <col min="13313" max="13313" width="30.54296875" style="155" customWidth="1"/>
    <col min="13314" max="13314" width="10.81640625" style="155" customWidth="1"/>
    <col min="13315" max="13315" width="3.7265625" style="155" customWidth="1"/>
    <col min="13316" max="13316" width="10.81640625" style="155" customWidth="1"/>
    <col min="13317" max="13317" width="3.7265625" style="155" customWidth="1"/>
    <col min="13318" max="13318" width="13.7265625" style="155" customWidth="1"/>
    <col min="13319" max="13319" width="13.7265625" style="155" bestFit="1" customWidth="1"/>
    <col min="13320" max="13320" width="9.1796875" style="155"/>
    <col min="13321" max="13321" width="19.1796875" style="155" customWidth="1"/>
    <col min="13322" max="13322" width="26.26953125" style="155" customWidth="1"/>
    <col min="13323" max="13323" width="11.1796875" style="155" customWidth="1"/>
    <col min="13324" max="13568" width="9.1796875" style="155"/>
    <col min="13569" max="13569" width="30.54296875" style="155" customWidth="1"/>
    <col min="13570" max="13570" width="10.81640625" style="155" customWidth="1"/>
    <col min="13571" max="13571" width="3.7265625" style="155" customWidth="1"/>
    <col min="13572" max="13572" width="10.81640625" style="155" customWidth="1"/>
    <col min="13573" max="13573" width="3.7265625" style="155" customWidth="1"/>
    <col min="13574" max="13574" width="13.7265625" style="155" customWidth="1"/>
    <col min="13575" max="13575" width="13.7265625" style="155" bestFit="1" customWidth="1"/>
    <col min="13576" max="13576" width="9.1796875" style="155"/>
    <col min="13577" max="13577" width="19.1796875" style="155" customWidth="1"/>
    <col min="13578" max="13578" width="26.26953125" style="155" customWidth="1"/>
    <col min="13579" max="13579" width="11.1796875" style="155" customWidth="1"/>
    <col min="13580" max="13824" width="9.1796875" style="155"/>
    <col min="13825" max="13825" width="30.54296875" style="155" customWidth="1"/>
    <col min="13826" max="13826" width="10.81640625" style="155" customWidth="1"/>
    <col min="13827" max="13827" width="3.7265625" style="155" customWidth="1"/>
    <col min="13828" max="13828" width="10.81640625" style="155" customWidth="1"/>
    <col min="13829" max="13829" width="3.7265625" style="155" customWidth="1"/>
    <col min="13830" max="13830" width="13.7265625" style="155" customWidth="1"/>
    <col min="13831" max="13831" width="13.7265625" style="155" bestFit="1" customWidth="1"/>
    <col min="13832" max="13832" width="9.1796875" style="155"/>
    <col min="13833" max="13833" width="19.1796875" style="155" customWidth="1"/>
    <col min="13834" max="13834" width="26.26953125" style="155" customWidth="1"/>
    <col min="13835" max="13835" width="11.1796875" style="155" customWidth="1"/>
    <col min="13836" max="14080" width="9.1796875" style="155"/>
    <col min="14081" max="14081" width="30.54296875" style="155" customWidth="1"/>
    <col min="14082" max="14082" width="10.81640625" style="155" customWidth="1"/>
    <col min="14083" max="14083" width="3.7265625" style="155" customWidth="1"/>
    <col min="14084" max="14084" width="10.81640625" style="155" customWidth="1"/>
    <col min="14085" max="14085" width="3.7265625" style="155" customWidth="1"/>
    <col min="14086" max="14086" width="13.7265625" style="155" customWidth="1"/>
    <col min="14087" max="14087" width="13.7265625" style="155" bestFit="1" customWidth="1"/>
    <col min="14088" max="14088" width="9.1796875" style="155"/>
    <col min="14089" max="14089" width="19.1796875" style="155" customWidth="1"/>
    <col min="14090" max="14090" width="26.26953125" style="155" customWidth="1"/>
    <col min="14091" max="14091" width="11.1796875" style="155" customWidth="1"/>
    <col min="14092" max="14336" width="9.1796875" style="155"/>
    <col min="14337" max="14337" width="30.54296875" style="155" customWidth="1"/>
    <col min="14338" max="14338" width="10.81640625" style="155" customWidth="1"/>
    <col min="14339" max="14339" width="3.7265625" style="155" customWidth="1"/>
    <col min="14340" max="14340" width="10.81640625" style="155" customWidth="1"/>
    <col min="14341" max="14341" width="3.7265625" style="155" customWidth="1"/>
    <col min="14342" max="14342" width="13.7265625" style="155" customWidth="1"/>
    <col min="14343" max="14343" width="13.7265625" style="155" bestFit="1" customWidth="1"/>
    <col min="14344" max="14344" width="9.1796875" style="155"/>
    <col min="14345" max="14345" width="19.1796875" style="155" customWidth="1"/>
    <col min="14346" max="14346" width="26.26953125" style="155" customWidth="1"/>
    <col min="14347" max="14347" width="11.1796875" style="155" customWidth="1"/>
    <col min="14348" max="14592" width="9.1796875" style="155"/>
    <col min="14593" max="14593" width="30.54296875" style="155" customWidth="1"/>
    <col min="14594" max="14594" width="10.81640625" style="155" customWidth="1"/>
    <col min="14595" max="14595" width="3.7265625" style="155" customWidth="1"/>
    <col min="14596" max="14596" width="10.81640625" style="155" customWidth="1"/>
    <col min="14597" max="14597" width="3.7265625" style="155" customWidth="1"/>
    <col min="14598" max="14598" width="13.7265625" style="155" customWidth="1"/>
    <col min="14599" max="14599" width="13.7265625" style="155" bestFit="1" customWidth="1"/>
    <col min="14600" max="14600" width="9.1796875" style="155"/>
    <col min="14601" max="14601" width="19.1796875" style="155" customWidth="1"/>
    <col min="14602" max="14602" width="26.26953125" style="155" customWidth="1"/>
    <col min="14603" max="14603" width="11.1796875" style="155" customWidth="1"/>
    <col min="14604" max="14848" width="9.1796875" style="155"/>
    <col min="14849" max="14849" width="30.54296875" style="155" customWidth="1"/>
    <col min="14850" max="14850" width="10.81640625" style="155" customWidth="1"/>
    <col min="14851" max="14851" width="3.7265625" style="155" customWidth="1"/>
    <col min="14852" max="14852" width="10.81640625" style="155" customWidth="1"/>
    <col min="14853" max="14853" width="3.7265625" style="155" customWidth="1"/>
    <col min="14854" max="14854" width="13.7265625" style="155" customWidth="1"/>
    <col min="14855" max="14855" width="13.7265625" style="155" bestFit="1" customWidth="1"/>
    <col min="14856" max="14856" width="9.1796875" style="155"/>
    <col min="14857" max="14857" width="19.1796875" style="155" customWidth="1"/>
    <col min="14858" max="14858" width="26.26953125" style="155" customWidth="1"/>
    <col min="14859" max="14859" width="11.1796875" style="155" customWidth="1"/>
    <col min="14860" max="15104" width="9.1796875" style="155"/>
    <col min="15105" max="15105" width="30.54296875" style="155" customWidth="1"/>
    <col min="15106" max="15106" width="10.81640625" style="155" customWidth="1"/>
    <col min="15107" max="15107" width="3.7265625" style="155" customWidth="1"/>
    <col min="15108" max="15108" width="10.81640625" style="155" customWidth="1"/>
    <col min="15109" max="15109" width="3.7265625" style="155" customWidth="1"/>
    <col min="15110" max="15110" width="13.7265625" style="155" customWidth="1"/>
    <col min="15111" max="15111" width="13.7265625" style="155" bestFit="1" customWidth="1"/>
    <col min="15112" max="15112" width="9.1796875" style="155"/>
    <col min="15113" max="15113" width="19.1796875" style="155" customWidth="1"/>
    <col min="15114" max="15114" width="26.26953125" style="155" customWidth="1"/>
    <col min="15115" max="15115" width="11.1796875" style="155" customWidth="1"/>
    <col min="15116" max="15360" width="9.1796875" style="155"/>
    <col min="15361" max="15361" width="30.54296875" style="155" customWidth="1"/>
    <col min="15362" max="15362" width="10.81640625" style="155" customWidth="1"/>
    <col min="15363" max="15363" width="3.7265625" style="155" customWidth="1"/>
    <col min="15364" max="15364" width="10.81640625" style="155" customWidth="1"/>
    <col min="15365" max="15365" width="3.7265625" style="155" customWidth="1"/>
    <col min="15366" max="15366" width="13.7265625" style="155" customWidth="1"/>
    <col min="15367" max="15367" width="13.7265625" style="155" bestFit="1" customWidth="1"/>
    <col min="15368" max="15368" width="9.1796875" style="155"/>
    <col min="15369" max="15369" width="19.1796875" style="155" customWidth="1"/>
    <col min="15370" max="15370" width="26.26953125" style="155" customWidth="1"/>
    <col min="15371" max="15371" width="11.1796875" style="155" customWidth="1"/>
    <col min="15372" max="15616" width="9.1796875" style="155"/>
    <col min="15617" max="15617" width="30.54296875" style="155" customWidth="1"/>
    <col min="15618" max="15618" width="10.81640625" style="155" customWidth="1"/>
    <col min="15619" max="15619" width="3.7265625" style="155" customWidth="1"/>
    <col min="15620" max="15620" width="10.81640625" style="155" customWidth="1"/>
    <col min="15621" max="15621" width="3.7265625" style="155" customWidth="1"/>
    <col min="15622" max="15622" width="13.7265625" style="155" customWidth="1"/>
    <col min="15623" max="15623" width="13.7265625" style="155" bestFit="1" customWidth="1"/>
    <col min="15624" max="15624" width="9.1796875" style="155"/>
    <col min="15625" max="15625" width="19.1796875" style="155" customWidth="1"/>
    <col min="15626" max="15626" width="26.26953125" style="155" customWidth="1"/>
    <col min="15627" max="15627" width="11.1796875" style="155" customWidth="1"/>
    <col min="15628" max="15872" width="9.1796875" style="155"/>
    <col min="15873" max="15873" width="30.54296875" style="155" customWidth="1"/>
    <col min="15874" max="15874" width="10.81640625" style="155" customWidth="1"/>
    <col min="15875" max="15875" width="3.7265625" style="155" customWidth="1"/>
    <col min="15876" max="15876" width="10.81640625" style="155" customWidth="1"/>
    <col min="15877" max="15877" width="3.7265625" style="155" customWidth="1"/>
    <col min="15878" max="15878" width="13.7265625" style="155" customWidth="1"/>
    <col min="15879" max="15879" width="13.7265625" style="155" bestFit="1" customWidth="1"/>
    <col min="15880" max="15880" width="9.1796875" style="155"/>
    <col min="15881" max="15881" width="19.1796875" style="155" customWidth="1"/>
    <col min="15882" max="15882" width="26.26953125" style="155" customWidth="1"/>
    <col min="15883" max="15883" width="11.1796875" style="155" customWidth="1"/>
    <col min="15884" max="16128" width="9.1796875" style="155"/>
    <col min="16129" max="16129" width="30.54296875" style="155" customWidth="1"/>
    <col min="16130" max="16130" width="10.81640625" style="155" customWidth="1"/>
    <col min="16131" max="16131" width="3.7265625" style="155" customWidth="1"/>
    <col min="16132" max="16132" width="10.81640625" style="155" customWidth="1"/>
    <col min="16133" max="16133" width="3.7265625" style="155" customWidth="1"/>
    <col min="16134" max="16134" width="13.7265625" style="155" customWidth="1"/>
    <col min="16135" max="16135" width="13.7265625" style="155" bestFit="1" customWidth="1"/>
    <col min="16136" max="16136" width="9.1796875" style="155"/>
    <col min="16137" max="16137" width="19.1796875" style="155" customWidth="1"/>
    <col min="16138" max="16138" width="26.26953125" style="155" customWidth="1"/>
    <col min="16139" max="16139" width="11.1796875" style="155" customWidth="1"/>
    <col min="16140" max="16384" width="9.1796875" style="155"/>
  </cols>
  <sheetData>
    <row r="1" spans="1:10" ht="14" x14ac:dyDescent="0.3">
      <c r="A1" s="5" t="s">
        <v>372</v>
      </c>
    </row>
    <row r="3" spans="1:10" s="162" customFormat="1" ht="13" x14ac:dyDescent="0.25">
      <c r="A3" s="157" t="s">
        <v>87</v>
      </c>
      <c r="B3" s="158">
        <v>2018</v>
      </c>
      <c r="C3" s="159"/>
      <c r="D3" s="158">
        <v>2019</v>
      </c>
      <c r="E3" s="159"/>
      <c r="F3" s="160" t="s">
        <v>88</v>
      </c>
      <c r="G3" s="161"/>
      <c r="J3" s="163"/>
    </row>
    <row r="4" spans="1:10" s="162" customFormat="1" ht="9" customHeight="1" x14ac:dyDescent="0.25">
      <c r="A4" s="164"/>
      <c r="B4" s="165"/>
      <c r="F4" s="166"/>
      <c r="G4" s="166"/>
      <c r="J4" s="163"/>
    </row>
    <row r="5" spans="1:10" s="162" customFormat="1" x14ac:dyDescent="0.25">
      <c r="A5" s="167" t="s">
        <v>89</v>
      </c>
      <c r="B5" s="168">
        <v>20365834</v>
      </c>
      <c r="C5" s="155"/>
      <c r="D5" s="168">
        <v>21628051</v>
      </c>
      <c r="E5" s="155"/>
      <c r="F5" s="169">
        <f>(D5-B5)/B5</f>
        <v>6.1977181980369674E-2</v>
      </c>
      <c r="G5" s="166"/>
      <c r="I5" s="170"/>
      <c r="J5" s="171"/>
    </row>
    <row r="6" spans="1:10" s="162" customFormat="1" x14ac:dyDescent="0.25">
      <c r="A6" s="172" t="s">
        <v>90</v>
      </c>
      <c r="B6" s="80">
        <v>18309523</v>
      </c>
      <c r="C6" s="173"/>
      <c r="D6" s="80">
        <v>17689570</v>
      </c>
      <c r="E6" s="173"/>
      <c r="F6" s="174">
        <f t="shared" ref="F6:F27" si="0">(D6-B6)/B6</f>
        <v>-3.3859593174546385E-2</v>
      </c>
      <c r="G6" s="175"/>
      <c r="I6" s="170"/>
      <c r="J6" s="171"/>
    </row>
    <row r="7" spans="1:10" s="162" customFormat="1" x14ac:dyDescent="0.25">
      <c r="A7" s="167" t="s">
        <v>91</v>
      </c>
      <c r="B7" s="168">
        <v>17165033</v>
      </c>
      <c r="C7" s="155"/>
      <c r="D7" s="168">
        <v>16955747</v>
      </c>
      <c r="E7" s="155"/>
      <c r="F7" s="169">
        <f t="shared" si="0"/>
        <v>-1.2192577782984746E-2</v>
      </c>
      <c r="G7" s="175"/>
      <c r="I7" s="170"/>
      <c r="J7" s="171"/>
    </row>
    <row r="8" spans="1:10" s="162" customFormat="1" x14ac:dyDescent="0.25">
      <c r="A8" s="172" t="s">
        <v>92</v>
      </c>
      <c r="B8" s="80">
        <v>10615752</v>
      </c>
      <c r="C8" s="173"/>
      <c r="D8" s="80">
        <v>11410423</v>
      </c>
      <c r="E8" s="173"/>
      <c r="F8" s="174">
        <f t="shared" si="0"/>
        <v>7.485772086612423E-2</v>
      </c>
      <c r="G8" s="175"/>
      <c r="I8" s="170"/>
      <c r="J8" s="171"/>
    </row>
    <row r="9" spans="1:10" s="162" customFormat="1" x14ac:dyDescent="0.25">
      <c r="A9" s="167" t="s">
        <v>93</v>
      </c>
      <c r="B9" s="168">
        <v>4502186</v>
      </c>
      <c r="C9" s="155"/>
      <c r="D9" s="168">
        <v>8369335</v>
      </c>
      <c r="E9" s="155"/>
      <c r="F9" s="169">
        <f>(D9-B9)/B9</f>
        <v>0.85894918601763681</v>
      </c>
      <c r="G9" s="175"/>
      <c r="I9" s="170"/>
      <c r="J9" s="171"/>
    </row>
    <row r="10" spans="1:10" s="162" customFormat="1" x14ac:dyDescent="0.25">
      <c r="A10" s="172" t="s">
        <v>94</v>
      </c>
      <c r="B10" s="80">
        <v>8274968</v>
      </c>
      <c r="C10" s="173"/>
      <c r="D10" s="80">
        <v>8318168</v>
      </c>
      <c r="E10" s="173"/>
      <c r="F10" s="174">
        <f t="shared" si="0"/>
        <v>5.220563994930252E-3</v>
      </c>
      <c r="G10" s="175"/>
      <c r="I10" s="170"/>
      <c r="J10" s="171"/>
    </row>
    <row r="11" spans="1:10" s="162" customFormat="1" x14ac:dyDescent="0.25">
      <c r="A11" s="167" t="s">
        <v>95</v>
      </c>
      <c r="B11" s="107">
        <v>290500</v>
      </c>
      <c r="C11" s="155"/>
      <c r="D11" s="168">
        <v>6398964</v>
      </c>
      <c r="E11" s="155"/>
      <c r="F11" s="169">
        <f t="shared" si="0"/>
        <v>21.027414802065405</v>
      </c>
      <c r="G11" s="175"/>
      <c r="I11" s="170"/>
      <c r="J11" s="171"/>
    </row>
    <row r="12" spans="1:10" s="162" customFormat="1" x14ac:dyDescent="0.25">
      <c r="A12" s="172" t="s">
        <v>96</v>
      </c>
      <c r="B12" s="176" t="s">
        <v>97</v>
      </c>
      <c r="C12" s="173"/>
      <c r="D12" s="80">
        <v>5991612</v>
      </c>
      <c r="E12" s="173"/>
      <c r="F12" s="174"/>
      <c r="G12" s="175"/>
      <c r="I12" s="170"/>
      <c r="J12" s="171"/>
    </row>
    <row r="13" spans="1:10" s="162" customFormat="1" x14ac:dyDescent="0.25">
      <c r="A13" s="167" t="s">
        <v>98</v>
      </c>
      <c r="B13" s="168">
        <v>5240436</v>
      </c>
      <c r="C13" s="155"/>
      <c r="D13" s="168">
        <v>5391391</v>
      </c>
      <c r="E13" s="155"/>
      <c r="F13" s="169">
        <f>(D13-B13)/B13</f>
        <v>2.8805809287624159E-2</v>
      </c>
      <c r="G13" s="175"/>
      <c r="I13" s="170"/>
      <c r="J13" s="171"/>
    </row>
    <row r="14" spans="1:10" s="162" customFormat="1" x14ac:dyDescent="0.25">
      <c r="A14" s="172" t="s">
        <v>99</v>
      </c>
      <c r="B14" s="80">
        <v>5847792</v>
      </c>
      <c r="C14" s="173"/>
      <c r="D14" s="80">
        <v>5188274</v>
      </c>
      <c r="E14" s="173"/>
      <c r="F14" s="174">
        <f t="shared" si="0"/>
        <v>-0.11278068713798302</v>
      </c>
      <c r="G14" s="175"/>
      <c r="I14" s="170"/>
      <c r="J14" s="171"/>
    </row>
    <row r="15" spans="1:10" s="162" customFormat="1" x14ac:dyDescent="0.25">
      <c r="A15" s="167" t="s">
        <v>100</v>
      </c>
      <c r="B15" s="168">
        <v>4445423</v>
      </c>
      <c r="C15" s="155"/>
      <c r="D15" s="168">
        <v>5075604</v>
      </c>
      <c r="E15" s="155"/>
      <c r="F15" s="169">
        <f t="shared" si="0"/>
        <v>0.14175951309920337</v>
      </c>
      <c r="G15" s="175"/>
      <c r="I15" s="170"/>
      <c r="J15" s="171"/>
    </row>
    <row r="16" spans="1:10" s="162" customFormat="1" x14ac:dyDescent="0.25">
      <c r="A16" s="172" t="s">
        <v>101</v>
      </c>
      <c r="B16" s="80">
        <v>4257220</v>
      </c>
      <c r="C16" s="173"/>
      <c r="D16" s="80">
        <v>4518559</v>
      </c>
      <c r="E16" s="173"/>
      <c r="F16" s="174">
        <f>(D16-B16)/B16</f>
        <v>6.1387243318409668E-2</v>
      </c>
      <c r="G16" s="175"/>
      <c r="I16" s="170"/>
      <c r="J16" s="171"/>
    </row>
    <row r="17" spans="1:11" s="162" customFormat="1" x14ac:dyDescent="0.25">
      <c r="A17" s="167" t="s">
        <v>102</v>
      </c>
      <c r="B17" s="168">
        <v>3154457</v>
      </c>
      <c r="C17" s="155"/>
      <c r="D17" s="168">
        <v>3993648</v>
      </c>
      <c r="E17" s="155"/>
      <c r="F17" s="169">
        <f>(D17-B17)/B17</f>
        <v>0.26603342508710692</v>
      </c>
      <c r="G17" s="175"/>
      <c r="I17" s="170"/>
      <c r="J17" s="171"/>
    </row>
    <row r="18" spans="1:11" s="162" customFormat="1" x14ac:dyDescent="0.25">
      <c r="A18" s="172" t="s">
        <v>103</v>
      </c>
      <c r="B18" s="80">
        <v>3554818</v>
      </c>
      <c r="C18" s="173"/>
      <c r="D18" s="80">
        <v>3603406</v>
      </c>
      <c r="E18" s="173"/>
      <c r="F18" s="174">
        <f t="shared" si="0"/>
        <v>1.3668210299373977E-2</v>
      </c>
      <c r="G18" s="175"/>
      <c r="I18" s="170"/>
      <c r="J18" s="171"/>
    </row>
    <row r="19" spans="1:11" s="162" customFormat="1" x14ac:dyDescent="0.25">
      <c r="A19" s="167" t="s">
        <v>104</v>
      </c>
      <c r="B19" s="168">
        <v>3449201</v>
      </c>
      <c r="C19" s="155"/>
      <c r="D19" s="168">
        <v>3431607</v>
      </c>
      <c r="E19" s="155"/>
      <c r="F19" s="169">
        <f t="shared" si="0"/>
        <v>-5.1008914818243415E-3</v>
      </c>
      <c r="G19" s="175"/>
      <c r="I19" s="170"/>
      <c r="J19" s="171"/>
    </row>
    <row r="20" spans="1:11" s="162" customFormat="1" x14ac:dyDescent="0.25">
      <c r="A20" s="172" t="s">
        <v>105</v>
      </c>
      <c r="B20" s="80">
        <v>4425982</v>
      </c>
      <c r="C20" s="173"/>
      <c r="D20" s="80">
        <v>3421072</v>
      </c>
      <c r="E20" s="173"/>
      <c r="F20" s="174">
        <f t="shared" si="0"/>
        <v>-0.22704791840545216</v>
      </c>
      <c r="G20" s="175"/>
      <c r="I20" s="170"/>
      <c r="J20" s="171"/>
    </row>
    <row r="21" spans="1:11" s="162" customFormat="1" x14ac:dyDescent="0.25">
      <c r="A21" s="167" t="s">
        <v>106</v>
      </c>
      <c r="B21" s="168">
        <v>13857781</v>
      </c>
      <c r="C21" s="155"/>
      <c r="D21" s="168">
        <v>3384581</v>
      </c>
      <c r="E21" s="155"/>
      <c r="F21" s="169">
        <f>(D21-B21)/B21</f>
        <v>-0.75576313408329954</v>
      </c>
      <c r="G21" s="175"/>
      <c r="I21" s="170"/>
      <c r="J21" s="171"/>
    </row>
    <row r="22" spans="1:11" s="162" customFormat="1" x14ac:dyDescent="0.25">
      <c r="A22" s="172" t="s">
        <v>107</v>
      </c>
      <c r="B22" s="80">
        <v>4139663</v>
      </c>
      <c r="C22" s="173"/>
      <c r="D22" s="80">
        <v>2940417</v>
      </c>
      <c r="E22" s="173"/>
      <c r="F22" s="174">
        <f>(D22-B22)/B22</f>
        <v>-0.28969652843721821</v>
      </c>
      <c r="G22" s="175"/>
      <c r="I22" s="170"/>
      <c r="J22" s="171"/>
    </row>
    <row r="23" spans="1:11" s="162" customFormat="1" x14ac:dyDescent="0.25">
      <c r="A23" s="167" t="s">
        <v>108</v>
      </c>
      <c r="B23" s="168">
        <v>3125013</v>
      </c>
      <c r="C23" s="155"/>
      <c r="D23" s="168">
        <v>2702424</v>
      </c>
      <c r="E23" s="155"/>
      <c r="F23" s="169">
        <f>(D23-B23)/B23</f>
        <v>-0.13522791745186341</v>
      </c>
      <c r="G23" s="175"/>
      <c r="I23" s="170"/>
      <c r="J23" s="171"/>
    </row>
    <row r="24" spans="1:11" s="162" customFormat="1" x14ac:dyDescent="0.25">
      <c r="A24" s="172" t="s">
        <v>109</v>
      </c>
      <c r="B24" s="80">
        <v>3608075</v>
      </c>
      <c r="C24" s="173"/>
      <c r="D24" s="80">
        <v>2693534</v>
      </c>
      <c r="E24" s="173"/>
      <c r="F24" s="174">
        <f t="shared" si="0"/>
        <v>-0.25347061798881676</v>
      </c>
      <c r="G24" s="175"/>
      <c r="I24" s="170"/>
      <c r="J24" s="171"/>
    </row>
    <row r="25" spans="1:11" s="162" customFormat="1" x14ac:dyDescent="0.25">
      <c r="A25" s="162" t="s">
        <v>110</v>
      </c>
      <c r="B25" s="168">
        <v>34333498</v>
      </c>
      <c r="C25" s="155"/>
      <c r="D25" s="168">
        <v>33702407</v>
      </c>
      <c r="E25" s="155"/>
      <c r="F25" s="169">
        <f t="shared" si="0"/>
        <v>-1.8381203103744338E-2</v>
      </c>
      <c r="G25" s="175"/>
      <c r="I25" s="170"/>
      <c r="J25" s="177"/>
    </row>
    <row r="26" spans="1:11" s="162" customFormat="1" ht="11.5" x14ac:dyDescent="0.25">
      <c r="F26" s="169"/>
      <c r="G26" s="175"/>
      <c r="I26" s="170"/>
      <c r="J26" s="170"/>
    </row>
    <row r="27" spans="1:11" s="162" customFormat="1" ht="11.5" x14ac:dyDescent="0.25">
      <c r="A27" s="157" t="s">
        <v>35</v>
      </c>
      <c r="B27" s="178">
        <f>SUM(B5:B25)</f>
        <v>172963155</v>
      </c>
      <c r="C27" s="157"/>
      <c r="D27" s="178">
        <f>SUM(D5:D26)</f>
        <v>176808794</v>
      </c>
      <c r="E27" s="157"/>
      <c r="F27" s="179">
        <f t="shared" si="0"/>
        <v>2.2233862466257626E-2</v>
      </c>
      <c r="G27" s="180"/>
      <c r="I27" s="170"/>
      <c r="J27" s="170"/>
    </row>
    <row r="29" spans="1:11" x14ac:dyDescent="0.25">
      <c r="I29" s="181"/>
      <c r="J29" s="181"/>
      <c r="K29" s="181"/>
    </row>
    <row r="30" spans="1:11" ht="13" x14ac:dyDescent="0.25">
      <c r="A30" s="157" t="s">
        <v>111</v>
      </c>
      <c r="B30" s="158">
        <v>2018</v>
      </c>
      <c r="C30" s="182"/>
      <c r="D30" s="158">
        <v>2019</v>
      </c>
      <c r="E30" s="182"/>
      <c r="F30" s="160" t="s">
        <v>88</v>
      </c>
      <c r="I30" s="181"/>
      <c r="J30" s="183"/>
      <c r="K30" s="181"/>
    </row>
    <row r="31" spans="1:11" x14ac:dyDescent="0.25">
      <c r="A31" s="162"/>
      <c r="B31" s="162"/>
      <c r="I31" s="181"/>
      <c r="J31" s="163"/>
      <c r="K31" s="181"/>
    </row>
    <row r="32" spans="1:11" x14ac:dyDescent="0.25">
      <c r="A32" s="167" t="s">
        <v>112</v>
      </c>
      <c r="B32" s="168">
        <v>29415264</v>
      </c>
      <c r="D32" s="168">
        <v>29947675</v>
      </c>
      <c r="F32" s="169">
        <f t="shared" ref="F32:F51" si="1">(D32-B32)/B32</f>
        <v>1.809982055574956E-2</v>
      </c>
      <c r="I32" s="181"/>
      <c r="J32" s="171"/>
      <c r="K32" s="181"/>
    </row>
    <row r="33" spans="1:11" x14ac:dyDescent="0.25">
      <c r="A33" s="172" t="s">
        <v>113</v>
      </c>
      <c r="B33" s="80">
        <v>22739686</v>
      </c>
      <c r="C33" s="173"/>
      <c r="D33" s="80">
        <v>27028951</v>
      </c>
      <c r="E33" s="173"/>
      <c r="F33" s="174">
        <f>(D33-B33)/B33</f>
        <v>0.18862463624167897</v>
      </c>
      <c r="I33" s="181"/>
      <c r="J33" s="171"/>
      <c r="K33" s="181"/>
    </row>
    <row r="34" spans="1:11" x14ac:dyDescent="0.25">
      <c r="A34" s="167" t="s">
        <v>114</v>
      </c>
      <c r="B34" s="168">
        <v>25047703</v>
      </c>
      <c r="D34" s="168">
        <v>22347257</v>
      </c>
      <c r="F34" s="169">
        <f t="shared" si="1"/>
        <v>-0.10781212153465729</v>
      </c>
      <c r="I34" s="181"/>
      <c r="J34" s="171"/>
      <c r="K34" s="181"/>
    </row>
    <row r="35" spans="1:11" x14ac:dyDescent="0.25">
      <c r="A35" s="172" t="s">
        <v>115</v>
      </c>
      <c r="B35" s="80">
        <v>20365834</v>
      </c>
      <c r="C35" s="173"/>
      <c r="D35" s="80">
        <v>21628051</v>
      </c>
      <c r="E35" s="173"/>
      <c r="F35" s="174">
        <f t="shared" si="1"/>
        <v>6.1977181980369674E-2</v>
      </c>
      <c r="I35" s="181"/>
      <c r="J35" s="171"/>
      <c r="K35" s="181"/>
    </row>
    <row r="36" spans="1:11" x14ac:dyDescent="0.25">
      <c r="A36" s="167" t="s">
        <v>116</v>
      </c>
      <c r="B36" s="168">
        <v>14577833</v>
      </c>
      <c r="D36" s="168">
        <v>12803745</v>
      </c>
      <c r="F36" s="169">
        <f>(D36-B36)/B36</f>
        <v>-0.12169764875204703</v>
      </c>
      <c r="I36" s="181"/>
      <c r="J36" s="171"/>
      <c r="K36" s="181"/>
    </row>
    <row r="37" spans="1:11" x14ac:dyDescent="0.25">
      <c r="A37" s="172" t="s">
        <v>117</v>
      </c>
      <c r="B37" s="80">
        <v>4502186</v>
      </c>
      <c r="C37" s="173"/>
      <c r="D37" s="80">
        <v>8369335</v>
      </c>
      <c r="E37" s="173"/>
      <c r="F37" s="174">
        <f>(D37-B37)/B37</f>
        <v>0.85894918601763681</v>
      </c>
      <c r="I37" s="181"/>
      <c r="J37" s="171"/>
      <c r="K37" s="181"/>
    </row>
    <row r="38" spans="1:11" x14ac:dyDescent="0.25">
      <c r="A38" s="184" t="s">
        <v>118</v>
      </c>
      <c r="B38" s="107">
        <v>8365804</v>
      </c>
      <c r="C38" s="185"/>
      <c r="D38" s="107">
        <v>8094114</v>
      </c>
      <c r="E38" s="185"/>
      <c r="F38" s="186">
        <f t="shared" si="1"/>
        <v>-3.2476256914457956E-2</v>
      </c>
      <c r="I38" s="181"/>
      <c r="J38" s="171"/>
      <c r="K38" s="181"/>
    </row>
    <row r="39" spans="1:11" x14ac:dyDescent="0.25">
      <c r="A39" s="172" t="s">
        <v>119</v>
      </c>
      <c r="B39" s="80">
        <v>7386196</v>
      </c>
      <c r="C39" s="173"/>
      <c r="D39" s="80">
        <v>6212964</v>
      </c>
      <c r="E39" s="173"/>
      <c r="F39" s="174">
        <f>(D39-B39)/B39</f>
        <v>-0.15884116803832446</v>
      </c>
      <c r="I39" s="181"/>
      <c r="J39" s="171"/>
      <c r="K39" s="181"/>
    </row>
    <row r="40" spans="1:11" x14ac:dyDescent="0.25">
      <c r="A40" s="184" t="s">
        <v>120</v>
      </c>
      <c r="B40" s="107">
        <v>6089613</v>
      </c>
      <c r="C40" s="185"/>
      <c r="D40" s="107">
        <v>5545987</v>
      </c>
      <c r="E40" s="185"/>
      <c r="F40" s="186">
        <f>(D40-B40)/B40</f>
        <v>-8.9271025925621222E-2</v>
      </c>
      <c r="I40" s="181"/>
      <c r="J40" s="171"/>
      <c r="K40" s="181"/>
    </row>
    <row r="41" spans="1:11" x14ac:dyDescent="0.25">
      <c r="A41" s="172" t="s">
        <v>121</v>
      </c>
      <c r="B41" s="80">
        <v>4445423</v>
      </c>
      <c r="C41" s="173"/>
      <c r="D41" s="80">
        <v>5075604</v>
      </c>
      <c r="E41" s="173"/>
      <c r="F41" s="174">
        <f t="shared" si="1"/>
        <v>0.14175951309920337</v>
      </c>
      <c r="I41" s="181"/>
      <c r="J41" s="171"/>
      <c r="K41" s="181"/>
    </row>
    <row r="42" spans="1:11" x14ac:dyDescent="0.25">
      <c r="A42" s="184" t="s">
        <v>122</v>
      </c>
      <c r="B42" s="107">
        <v>3449201</v>
      </c>
      <c r="C42" s="185"/>
      <c r="D42" s="107">
        <v>3431607</v>
      </c>
      <c r="E42" s="185"/>
      <c r="F42" s="186">
        <f t="shared" si="1"/>
        <v>-5.1008914818243415E-3</v>
      </c>
      <c r="I42" s="181"/>
      <c r="J42" s="171"/>
      <c r="K42" s="181"/>
    </row>
    <row r="43" spans="1:11" x14ac:dyDescent="0.25">
      <c r="A43" s="172" t="s">
        <v>123</v>
      </c>
      <c r="B43" s="80">
        <v>2846715</v>
      </c>
      <c r="C43" s="173"/>
      <c r="D43" s="80">
        <v>2645341</v>
      </c>
      <c r="E43" s="173"/>
      <c r="F43" s="174">
        <f t="shared" si="1"/>
        <v>-7.0739079957073334E-2</v>
      </c>
      <c r="I43" s="181"/>
      <c r="J43" s="171"/>
      <c r="K43" s="181"/>
    </row>
    <row r="44" spans="1:11" x14ac:dyDescent="0.25">
      <c r="A44" s="167" t="s">
        <v>124</v>
      </c>
      <c r="B44" s="168">
        <v>1791294</v>
      </c>
      <c r="D44" s="168">
        <v>2340263</v>
      </c>
      <c r="F44" s="169">
        <f t="shared" si="1"/>
        <v>0.30646504705536892</v>
      </c>
      <c r="I44" s="181"/>
      <c r="J44" s="171"/>
      <c r="K44" s="181"/>
    </row>
    <row r="45" spans="1:11" x14ac:dyDescent="0.25">
      <c r="A45" s="172" t="s">
        <v>125</v>
      </c>
      <c r="B45" s="80">
        <v>1411495</v>
      </c>
      <c r="C45" s="173"/>
      <c r="D45" s="80">
        <v>1067166</v>
      </c>
      <c r="E45" s="173"/>
      <c r="F45" s="174">
        <f t="shared" si="1"/>
        <v>-0.24394631224340149</v>
      </c>
      <c r="I45" s="181"/>
      <c r="J45" s="171"/>
      <c r="K45" s="181"/>
    </row>
    <row r="46" spans="1:11" x14ac:dyDescent="0.25">
      <c r="A46" s="167" t="s">
        <v>126</v>
      </c>
      <c r="B46" s="168">
        <v>1107946</v>
      </c>
      <c r="D46" s="168">
        <v>859031</v>
      </c>
      <c r="F46" s="169">
        <f>(D46-B46)/B46</f>
        <v>-0.22466347637881268</v>
      </c>
      <c r="I46" s="181"/>
      <c r="J46" s="171"/>
      <c r="K46" s="181"/>
    </row>
    <row r="47" spans="1:11" x14ac:dyDescent="0.25">
      <c r="A47" s="172" t="s">
        <v>127</v>
      </c>
      <c r="B47" s="187" t="s">
        <v>97</v>
      </c>
      <c r="C47" s="173"/>
      <c r="D47" s="80">
        <v>852109</v>
      </c>
      <c r="E47" s="173"/>
      <c r="F47" s="174"/>
      <c r="I47" s="181"/>
      <c r="J47" s="171"/>
      <c r="K47" s="181"/>
    </row>
    <row r="48" spans="1:11" x14ac:dyDescent="0.25">
      <c r="A48" s="167" t="s">
        <v>128</v>
      </c>
      <c r="B48" s="168">
        <v>627871</v>
      </c>
      <c r="D48" s="168">
        <v>802473</v>
      </c>
      <c r="F48" s="169">
        <f>(D48-B48)/B48</f>
        <v>0.27808578513739285</v>
      </c>
      <c r="I48" s="181"/>
      <c r="J48" s="171"/>
      <c r="K48" s="181"/>
    </row>
    <row r="49" spans="1:13" x14ac:dyDescent="0.25">
      <c r="A49" s="172" t="s">
        <v>129</v>
      </c>
      <c r="B49" s="80">
        <v>604550</v>
      </c>
      <c r="C49" s="173"/>
      <c r="D49" s="80">
        <v>791237</v>
      </c>
      <c r="E49" s="173"/>
      <c r="F49" s="174">
        <f>(D49-B49)/B49</f>
        <v>0.30880324208088661</v>
      </c>
      <c r="I49" s="181"/>
      <c r="J49" s="171"/>
      <c r="K49" s="181"/>
    </row>
    <row r="50" spans="1:13" x14ac:dyDescent="0.25">
      <c r="A50" s="167" t="s">
        <v>130</v>
      </c>
      <c r="B50" s="168">
        <v>443438</v>
      </c>
      <c r="D50" s="168">
        <v>645722</v>
      </c>
      <c r="F50" s="169">
        <f>(D50-B50)/B50</f>
        <v>0.45617200149739084</v>
      </c>
      <c r="I50" s="181"/>
      <c r="J50" s="171"/>
      <c r="K50" s="181"/>
    </row>
    <row r="51" spans="1:13" x14ac:dyDescent="0.25">
      <c r="A51" s="172" t="s">
        <v>131</v>
      </c>
      <c r="B51" s="80">
        <v>617209</v>
      </c>
      <c r="C51" s="173"/>
      <c r="D51" s="80">
        <v>625376</v>
      </c>
      <c r="E51" s="173"/>
      <c r="F51" s="174">
        <f t="shared" si="1"/>
        <v>1.3232146647245908E-2</v>
      </c>
      <c r="I51" s="181"/>
      <c r="J51" s="171"/>
      <c r="K51" s="181"/>
    </row>
    <row r="52" spans="1:13" x14ac:dyDescent="0.25">
      <c r="A52" s="162" t="s">
        <v>132</v>
      </c>
      <c r="B52" s="168">
        <v>17127894</v>
      </c>
      <c r="D52" s="168">
        <v>15694786</v>
      </c>
      <c r="F52" s="169"/>
      <c r="I52" s="181"/>
      <c r="J52" s="163"/>
      <c r="K52" s="181"/>
    </row>
    <row r="53" spans="1:13" ht="9.5" customHeight="1" x14ac:dyDescent="0.25">
      <c r="A53" s="162"/>
      <c r="B53" s="168"/>
      <c r="D53" s="188"/>
      <c r="F53" s="189"/>
      <c r="I53" s="190"/>
      <c r="J53" s="163"/>
      <c r="K53" s="181"/>
      <c r="L53" s="181"/>
      <c r="M53" s="181"/>
    </row>
    <row r="54" spans="1:13" x14ac:dyDescent="0.25">
      <c r="A54" s="157" t="s">
        <v>35</v>
      </c>
      <c r="B54" s="178">
        <v>172963155</v>
      </c>
      <c r="C54" s="191"/>
      <c r="D54" s="178">
        <v>176808794</v>
      </c>
      <c r="E54" s="191"/>
      <c r="F54" s="179">
        <f>(D54-B54)/B54</f>
        <v>2.2233862466257626E-2</v>
      </c>
      <c r="I54" s="181"/>
      <c r="J54" s="183"/>
      <c r="K54" s="181"/>
      <c r="L54" s="181"/>
      <c r="M54" s="181"/>
    </row>
    <row r="55" spans="1:13" ht="11" customHeight="1" x14ac:dyDescent="0.25">
      <c r="I55" s="181"/>
      <c r="J55" s="183"/>
      <c r="K55" s="192"/>
      <c r="L55" s="181"/>
      <c r="M55" s="181"/>
    </row>
    <row r="56" spans="1:13" ht="13" x14ac:dyDescent="0.25">
      <c r="A56" s="157" t="s">
        <v>133</v>
      </c>
      <c r="B56" s="158">
        <v>2018</v>
      </c>
      <c r="C56" s="191"/>
      <c r="D56" s="158">
        <v>2019</v>
      </c>
      <c r="E56" s="158"/>
      <c r="F56" s="160" t="s">
        <v>88</v>
      </c>
      <c r="J56" s="163"/>
      <c r="K56" s="181"/>
      <c r="L56" s="181"/>
      <c r="M56" s="181"/>
    </row>
    <row r="57" spans="1:13" x14ac:dyDescent="0.25">
      <c r="A57" s="162"/>
      <c r="B57" s="162"/>
      <c r="I57" s="185"/>
      <c r="J57" s="171"/>
      <c r="K57" s="190"/>
      <c r="L57" s="181"/>
      <c r="M57" s="181"/>
    </row>
    <row r="58" spans="1:13" x14ac:dyDescent="0.25">
      <c r="A58" s="167" t="s">
        <v>134</v>
      </c>
      <c r="B58" s="168">
        <v>20365834</v>
      </c>
      <c r="D58" s="168">
        <v>21628051</v>
      </c>
      <c r="F58" s="169">
        <f t="shared" ref="F58:F78" si="2">(D58-B58)/B58</f>
        <v>6.1977181980369674E-2</v>
      </c>
      <c r="I58" s="184"/>
      <c r="J58" s="171"/>
      <c r="K58" s="190"/>
      <c r="L58" s="181"/>
      <c r="M58" s="181"/>
    </row>
    <row r="59" spans="1:13" x14ac:dyDescent="0.25">
      <c r="A59" s="172" t="s">
        <v>135</v>
      </c>
      <c r="B59" s="80">
        <v>23308023</v>
      </c>
      <c r="C59" s="173"/>
      <c r="D59" s="80">
        <v>20887532</v>
      </c>
      <c r="E59" s="173"/>
      <c r="F59" s="174">
        <f t="shared" si="2"/>
        <v>-0.10384797543747061</v>
      </c>
      <c r="I59" s="184"/>
      <c r="J59" s="171"/>
      <c r="K59" s="190"/>
      <c r="L59" s="181"/>
      <c r="M59" s="181"/>
    </row>
    <row r="60" spans="1:13" x14ac:dyDescent="0.25">
      <c r="A60" s="167" t="s">
        <v>136</v>
      </c>
      <c r="B60" s="168">
        <v>17259429</v>
      </c>
      <c r="D60" s="168">
        <v>17236773</v>
      </c>
      <c r="F60" s="169">
        <f t="shared" si="2"/>
        <v>-1.3126737854421487E-3</v>
      </c>
      <c r="I60" s="184"/>
      <c r="J60" s="171"/>
      <c r="K60" s="190"/>
      <c r="L60" s="181"/>
      <c r="M60" s="181"/>
    </row>
    <row r="61" spans="1:13" x14ac:dyDescent="0.25">
      <c r="A61" s="172" t="s">
        <v>137</v>
      </c>
      <c r="B61" s="80">
        <v>16046405</v>
      </c>
      <c r="C61" s="173"/>
      <c r="D61" s="80">
        <v>16750245</v>
      </c>
      <c r="E61" s="173"/>
      <c r="F61" s="174">
        <f t="shared" si="2"/>
        <v>4.386278421864586E-2</v>
      </c>
      <c r="I61" s="184"/>
      <c r="J61" s="171"/>
      <c r="K61" s="190"/>
      <c r="L61" s="181"/>
      <c r="M61" s="181"/>
    </row>
    <row r="62" spans="1:13" x14ac:dyDescent="0.25">
      <c r="A62" s="167" t="s">
        <v>138</v>
      </c>
      <c r="B62" s="168">
        <v>12485790</v>
      </c>
      <c r="D62" s="168">
        <v>12352453</v>
      </c>
      <c r="F62" s="169">
        <f t="shared" si="2"/>
        <v>-1.0679100000881002E-2</v>
      </c>
      <c r="I62" s="184"/>
      <c r="J62" s="171"/>
      <c r="K62" s="190"/>
      <c r="L62" s="181"/>
      <c r="M62" s="181"/>
    </row>
    <row r="63" spans="1:13" x14ac:dyDescent="0.25">
      <c r="A63" s="172" t="s">
        <v>139</v>
      </c>
      <c r="B63" s="80">
        <v>12964437</v>
      </c>
      <c r="C63" s="173"/>
      <c r="D63" s="80">
        <v>8393076</v>
      </c>
      <c r="E63" s="173"/>
      <c r="F63" s="174">
        <f t="shared" si="2"/>
        <v>-0.352607753040105</v>
      </c>
      <c r="I63" s="184"/>
      <c r="J63" s="171"/>
      <c r="K63" s="190"/>
      <c r="L63" s="181"/>
      <c r="M63" s="181"/>
    </row>
    <row r="64" spans="1:13" x14ac:dyDescent="0.25">
      <c r="A64" s="167" t="s">
        <v>140</v>
      </c>
      <c r="B64" s="168">
        <v>343491</v>
      </c>
      <c r="D64" s="168">
        <v>6398964</v>
      </c>
      <c r="F64" s="169">
        <f t="shared" si="2"/>
        <v>17.629204258626864</v>
      </c>
      <c r="I64" s="184"/>
      <c r="J64" s="171"/>
      <c r="K64" s="190"/>
      <c r="L64" s="181"/>
      <c r="M64" s="181"/>
    </row>
    <row r="65" spans="1:13" x14ac:dyDescent="0.25">
      <c r="A65" s="172" t="s">
        <v>141</v>
      </c>
      <c r="B65" s="80">
        <v>5299382</v>
      </c>
      <c r="C65" s="173"/>
      <c r="D65" s="80">
        <v>5348362</v>
      </c>
      <c r="E65" s="173"/>
      <c r="F65" s="174">
        <f t="shared" si="2"/>
        <v>9.2425871545021663E-3</v>
      </c>
      <c r="I65" s="184"/>
      <c r="J65" s="171"/>
      <c r="K65" s="190"/>
      <c r="L65" s="181"/>
      <c r="M65" s="181"/>
    </row>
    <row r="66" spans="1:13" x14ac:dyDescent="0.25">
      <c r="A66" s="167" t="s">
        <v>142</v>
      </c>
      <c r="B66" s="168">
        <v>3606343</v>
      </c>
      <c r="D66" s="168">
        <v>5213469</v>
      </c>
      <c r="F66" s="169">
        <f t="shared" si="2"/>
        <v>0.44563869826025976</v>
      </c>
      <c r="I66" s="184"/>
      <c r="J66" s="171"/>
      <c r="K66" s="190"/>
      <c r="L66" s="181"/>
      <c r="M66" s="181"/>
    </row>
    <row r="67" spans="1:13" x14ac:dyDescent="0.25">
      <c r="A67" s="172" t="s">
        <v>143</v>
      </c>
      <c r="B67" s="80">
        <v>5649032</v>
      </c>
      <c r="C67" s="173"/>
      <c r="D67" s="80">
        <v>5036078</v>
      </c>
      <c r="E67" s="173"/>
      <c r="F67" s="174">
        <f t="shared" si="2"/>
        <v>-0.10850602368689007</v>
      </c>
      <c r="I67" s="184"/>
      <c r="J67" s="171"/>
      <c r="K67" s="190"/>
      <c r="L67" s="181"/>
      <c r="M67" s="181"/>
    </row>
    <row r="68" spans="1:13" x14ac:dyDescent="0.25">
      <c r="A68" s="167" t="s">
        <v>144</v>
      </c>
      <c r="B68" s="168">
        <v>4130418</v>
      </c>
      <c r="D68" s="168">
        <v>4806969</v>
      </c>
      <c r="F68" s="169">
        <f t="shared" si="2"/>
        <v>0.16379722342871836</v>
      </c>
      <c r="I68" s="184"/>
      <c r="J68" s="171"/>
      <c r="K68" s="190"/>
      <c r="L68" s="181"/>
      <c r="M68" s="181"/>
    </row>
    <row r="69" spans="1:13" x14ac:dyDescent="0.25">
      <c r="A69" s="172" t="s">
        <v>145</v>
      </c>
      <c r="B69" s="80">
        <v>2506950</v>
      </c>
      <c r="C69" s="173"/>
      <c r="D69" s="80">
        <v>4732724</v>
      </c>
      <c r="E69" s="173"/>
      <c r="F69" s="174">
        <f t="shared" si="2"/>
        <v>0.8878414009054828</v>
      </c>
      <c r="I69" s="184"/>
      <c r="J69" s="171"/>
      <c r="K69" s="190"/>
      <c r="L69" s="181"/>
      <c r="M69" s="181"/>
    </row>
    <row r="70" spans="1:13" x14ac:dyDescent="0.25">
      <c r="A70" s="167" t="s">
        <v>146</v>
      </c>
      <c r="B70" s="168">
        <v>4261625</v>
      </c>
      <c r="D70" s="168">
        <v>4518559</v>
      </c>
      <c r="F70" s="169">
        <f t="shared" si="2"/>
        <v>6.0290147537617696E-2</v>
      </c>
      <c r="I70" s="184"/>
      <c r="J70" s="171"/>
      <c r="K70" s="190"/>
      <c r="L70" s="181"/>
      <c r="M70" s="181"/>
    </row>
    <row r="71" spans="1:13" x14ac:dyDescent="0.25">
      <c r="A71" s="172" t="s">
        <v>147</v>
      </c>
      <c r="B71" s="80">
        <v>4505236</v>
      </c>
      <c r="C71" s="173"/>
      <c r="D71" s="80">
        <v>4087562</v>
      </c>
      <c r="E71" s="173"/>
      <c r="F71" s="174">
        <f t="shared" si="2"/>
        <v>-9.2708572869434583E-2</v>
      </c>
      <c r="I71" s="184"/>
      <c r="J71" s="171"/>
      <c r="K71" s="190"/>
      <c r="L71" s="181"/>
      <c r="M71" s="181"/>
    </row>
    <row r="72" spans="1:13" x14ac:dyDescent="0.25">
      <c r="A72" s="167" t="s">
        <v>148</v>
      </c>
      <c r="B72" s="168">
        <v>4151223</v>
      </c>
      <c r="D72" s="168">
        <v>4018881</v>
      </c>
      <c r="F72" s="169">
        <f t="shared" si="2"/>
        <v>-3.1880243484871805E-2</v>
      </c>
      <c r="I72" s="184"/>
      <c r="J72" s="171"/>
      <c r="K72" s="190"/>
      <c r="L72" s="181"/>
      <c r="M72" s="181"/>
    </row>
    <row r="73" spans="1:13" x14ac:dyDescent="0.25">
      <c r="A73" s="172" t="s">
        <v>149</v>
      </c>
      <c r="B73" s="80">
        <v>3449201</v>
      </c>
      <c r="C73" s="173"/>
      <c r="D73" s="80">
        <v>3431607</v>
      </c>
      <c r="E73" s="173"/>
      <c r="F73" s="174">
        <f t="shared" si="2"/>
        <v>-5.1008914818243415E-3</v>
      </c>
      <c r="I73" s="184"/>
      <c r="J73" s="171"/>
      <c r="K73" s="190"/>
      <c r="L73" s="181"/>
      <c r="M73" s="181"/>
    </row>
    <row r="74" spans="1:13" x14ac:dyDescent="0.25">
      <c r="A74" s="167" t="s">
        <v>150</v>
      </c>
      <c r="B74" s="168">
        <v>895843</v>
      </c>
      <c r="D74" s="168">
        <v>3155866</v>
      </c>
      <c r="F74" s="169">
        <f>(D74-B74)/B74</f>
        <v>2.5227891494380152</v>
      </c>
      <c r="I74" s="184"/>
      <c r="J74" s="171"/>
      <c r="K74" s="190"/>
      <c r="L74" s="181"/>
      <c r="M74" s="181"/>
    </row>
    <row r="75" spans="1:13" x14ac:dyDescent="0.25">
      <c r="A75" s="172" t="s">
        <v>151</v>
      </c>
      <c r="B75" s="80">
        <v>3252695</v>
      </c>
      <c r="C75" s="173"/>
      <c r="D75" s="80">
        <v>3038189</v>
      </c>
      <c r="E75" s="173"/>
      <c r="F75" s="174">
        <f t="shared" si="2"/>
        <v>-6.5947160739017949E-2</v>
      </c>
      <c r="I75" s="184"/>
      <c r="J75" s="171"/>
      <c r="K75" s="190"/>
      <c r="L75" s="181"/>
      <c r="M75" s="181"/>
    </row>
    <row r="76" spans="1:13" x14ac:dyDescent="0.25">
      <c r="A76" s="167" t="s">
        <v>152</v>
      </c>
      <c r="B76" s="168">
        <v>1832733</v>
      </c>
      <c r="D76" s="168">
        <v>2716703</v>
      </c>
      <c r="F76" s="169">
        <f t="shared" si="2"/>
        <v>0.48232339353304599</v>
      </c>
      <c r="I76" s="184"/>
      <c r="J76" s="171"/>
      <c r="K76" s="190"/>
      <c r="L76" s="181"/>
      <c r="M76" s="181"/>
    </row>
    <row r="77" spans="1:13" x14ac:dyDescent="0.25">
      <c r="A77" s="172" t="s">
        <v>153</v>
      </c>
      <c r="B77" s="80">
        <v>2243404</v>
      </c>
      <c r="C77" s="173"/>
      <c r="D77" s="80">
        <v>2662006</v>
      </c>
      <c r="E77" s="173"/>
      <c r="F77" s="174">
        <f t="shared" si="2"/>
        <v>0.18659233914176848</v>
      </c>
      <c r="I77" s="184"/>
      <c r="J77" s="163"/>
      <c r="K77" s="190"/>
      <c r="L77" s="181"/>
      <c r="M77" s="181"/>
    </row>
    <row r="78" spans="1:13" x14ac:dyDescent="0.25">
      <c r="A78" s="162" t="s">
        <v>110</v>
      </c>
      <c r="B78" s="168">
        <v>24405661</v>
      </c>
      <c r="D78" s="168">
        <v>20394725</v>
      </c>
      <c r="F78" s="169">
        <f t="shared" si="2"/>
        <v>-0.16434449368119963</v>
      </c>
      <c r="I78" s="170"/>
      <c r="J78" s="163"/>
      <c r="K78" s="181"/>
      <c r="L78" s="181"/>
      <c r="M78" s="181"/>
    </row>
    <row r="79" spans="1:13" ht="9" customHeight="1" x14ac:dyDescent="0.25">
      <c r="A79" s="162"/>
      <c r="B79" s="168"/>
      <c r="F79" s="169"/>
      <c r="I79" s="185"/>
      <c r="J79" s="183"/>
      <c r="K79" s="193"/>
      <c r="L79" s="181"/>
      <c r="M79" s="181"/>
    </row>
    <row r="80" spans="1:13" x14ac:dyDescent="0.25">
      <c r="A80" s="157"/>
      <c r="B80" s="178">
        <f>SUM(B58:B79)</f>
        <v>172963155</v>
      </c>
      <c r="C80" s="191"/>
      <c r="D80" s="178">
        <f>SUM(D58:D79)</f>
        <v>176808794</v>
      </c>
      <c r="E80" s="191"/>
      <c r="F80" s="179">
        <f>(D80-B80)/B80</f>
        <v>2.2233862466257626E-2</v>
      </c>
      <c r="I80" s="185"/>
      <c r="J80" s="181"/>
      <c r="K80" s="181"/>
      <c r="L80" s="181"/>
      <c r="M80" s="181"/>
    </row>
    <row r="81" spans="1:13" ht="13" x14ac:dyDescent="0.3">
      <c r="A81" s="194" t="s">
        <v>53</v>
      </c>
      <c r="I81" s="185"/>
      <c r="J81" s="181"/>
      <c r="K81" s="181"/>
      <c r="L81" s="181"/>
      <c r="M81" s="181"/>
    </row>
    <row r="82" spans="1:13" x14ac:dyDescent="0.25">
      <c r="J82" s="181"/>
      <c r="K82" s="181"/>
      <c r="L82" s="181"/>
      <c r="M82" s="181"/>
    </row>
    <row r="83" spans="1:13" x14ac:dyDescent="0.25">
      <c r="J83" s="181"/>
      <c r="K83" s="181"/>
      <c r="L83" s="181"/>
      <c r="M83" s="181"/>
    </row>
  </sheetData>
  <pageMargins left="0.19685039370078741" right="0.19685039370078741" top="0.98425196850393704" bottom="0.98425196850393704" header="0" footer="0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6"/>
  <sheetViews>
    <sheetView showGridLines="0" zoomScaleNormal="100" workbookViewId="0">
      <selection activeCell="C10" sqref="C10"/>
    </sheetView>
  </sheetViews>
  <sheetFormatPr defaultColWidth="11.453125" defaultRowHeight="12.5" x14ac:dyDescent="0.25"/>
  <cols>
    <col min="1" max="4" width="8.7265625" style="67" customWidth="1"/>
    <col min="5" max="5" width="1.7265625" style="67" customWidth="1"/>
    <col min="6" max="8" width="8.7265625" style="67" customWidth="1"/>
    <col min="9" max="9" width="1.7265625" style="67" customWidth="1"/>
    <col min="10" max="12" width="8.7265625" style="67" customWidth="1"/>
    <col min="13" max="256" width="11.453125" style="67"/>
    <col min="257" max="260" width="8.7265625" style="67" customWidth="1"/>
    <col min="261" max="261" width="1.7265625" style="67" customWidth="1"/>
    <col min="262" max="264" width="8.7265625" style="67" customWidth="1"/>
    <col min="265" max="265" width="1.7265625" style="67" customWidth="1"/>
    <col min="266" max="268" width="8.7265625" style="67" customWidth="1"/>
    <col min="269" max="512" width="11.453125" style="67"/>
    <col min="513" max="516" width="8.7265625" style="67" customWidth="1"/>
    <col min="517" max="517" width="1.7265625" style="67" customWidth="1"/>
    <col min="518" max="520" width="8.7265625" style="67" customWidth="1"/>
    <col min="521" max="521" width="1.7265625" style="67" customWidth="1"/>
    <col min="522" max="524" width="8.7265625" style="67" customWidth="1"/>
    <col min="525" max="768" width="11.453125" style="67"/>
    <col min="769" max="772" width="8.7265625" style="67" customWidth="1"/>
    <col min="773" max="773" width="1.7265625" style="67" customWidth="1"/>
    <col min="774" max="776" width="8.7265625" style="67" customWidth="1"/>
    <col min="777" max="777" width="1.7265625" style="67" customWidth="1"/>
    <col min="778" max="780" width="8.7265625" style="67" customWidth="1"/>
    <col min="781" max="1024" width="11.453125" style="67"/>
    <col min="1025" max="1028" width="8.7265625" style="67" customWidth="1"/>
    <col min="1029" max="1029" width="1.7265625" style="67" customWidth="1"/>
    <col min="1030" max="1032" width="8.7265625" style="67" customWidth="1"/>
    <col min="1033" max="1033" width="1.7265625" style="67" customWidth="1"/>
    <col min="1034" max="1036" width="8.7265625" style="67" customWidth="1"/>
    <col min="1037" max="1280" width="11.453125" style="67"/>
    <col min="1281" max="1284" width="8.7265625" style="67" customWidth="1"/>
    <col min="1285" max="1285" width="1.7265625" style="67" customWidth="1"/>
    <col min="1286" max="1288" width="8.7265625" style="67" customWidth="1"/>
    <col min="1289" max="1289" width="1.7265625" style="67" customWidth="1"/>
    <col min="1290" max="1292" width="8.7265625" style="67" customWidth="1"/>
    <col min="1293" max="1536" width="11.453125" style="67"/>
    <col min="1537" max="1540" width="8.7265625" style="67" customWidth="1"/>
    <col min="1541" max="1541" width="1.7265625" style="67" customWidth="1"/>
    <col min="1542" max="1544" width="8.7265625" style="67" customWidth="1"/>
    <col min="1545" max="1545" width="1.7265625" style="67" customWidth="1"/>
    <col min="1546" max="1548" width="8.7265625" style="67" customWidth="1"/>
    <col min="1549" max="1792" width="11.453125" style="67"/>
    <col min="1793" max="1796" width="8.7265625" style="67" customWidth="1"/>
    <col min="1797" max="1797" width="1.7265625" style="67" customWidth="1"/>
    <col min="1798" max="1800" width="8.7265625" style="67" customWidth="1"/>
    <col min="1801" max="1801" width="1.7265625" style="67" customWidth="1"/>
    <col min="1802" max="1804" width="8.7265625" style="67" customWidth="1"/>
    <col min="1805" max="2048" width="11.453125" style="67"/>
    <col min="2049" max="2052" width="8.7265625" style="67" customWidth="1"/>
    <col min="2053" max="2053" width="1.7265625" style="67" customWidth="1"/>
    <col min="2054" max="2056" width="8.7265625" style="67" customWidth="1"/>
    <col min="2057" max="2057" width="1.7265625" style="67" customWidth="1"/>
    <col min="2058" max="2060" width="8.7265625" style="67" customWidth="1"/>
    <col min="2061" max="2304" width="11.453125" style="67"/>
    <col min="2305" max="2308" width="8.7265625" style="67" customWidth="1"/>
    <col min="2309" max="2309" width="1.7265625" style="67" customWidth="1"/>
    <col min="2310" max="2312" width="8.7265625" style="67" customWidth="1"/>
    <col min="2313" max="2313" width="1.7265625" style="67" customWidth="1"/>
    <col min="2314" max="2316" width="8.7265625" style="67" customWidth="1"/>
    <col min="2317" max="2560" width="11.453125" style="67"/>
    <col min="2561" max="2564" width="8.7265625" style="67" customWidth="1"/>
    <col min="2565" max="2565" width="1.7265625" style="67" customWidth="1"/>
    <col min="2566" max="2568" width="8.7265625" style="67" customWidth="1"/>
    <col min="2569" max="2569" width="1.7265625" style="67" customWidth="1"/>
    <col min="2570" max="2572" width="8.7265625" style="67" customWidth="1"/>
    <col min="2573" max="2816" width="11.453125" style="67"/>
    <col min="2817" max="2820" width="8.7265625" style="67" customWidth="1"/>
    <col min="2821" max="2821" width="1.7265625" style="67" customWidth="1"/>
    <col min="2822" max="2824" width="8.7265625" style="67" customWidth="1"/>
    <col min="2825" max="2825" width="1.7265625" style="67" customWidth="1"/>
    <col min="2826" max="2828" width="8.7265625" style="67" customWidth="1"/>
    <col min="2829" max="3072" width="11.453125" style="67"/>
    <col min="3073" max="3076" width="8.7265625" style="67" customWidth="1"/>
    <col min="3077" max="3077" width="1.7265625" style="67" customWidth="1"/>
    <col min="3078" max="3080" width="8.7265625" style="67" customWidth="1"/>
    <col min="3081" max="3081" width="1.7265625" style="67" customWidth="1"/>
    <col min="3082" max="3084" width="8.7265625" style="67" customWidth="1"/>
    <col min="3085" max="3328" width="11.453125" style="67"/>
    <col min="3329" max="3332" width="8.7265625" style="67" customWidth="1"/>
    <col min="3333" max="3333" width="1.7265625" style="67" customWidth="1"/>
    <col min="3334" max="3336" width="8.7265625" style="67" customWidth="1"/>
    <col min="3337" max="3337" width="1.7265625" style="67" customWidth="1"/>
    <col min="3338" max="3340" width="8.7265625" style="67" customWidth="1"/>
    <col min="3341" max="3584" width="11.453125" style="67"/>
    <col min="3585" max="3588" width="8.7265625" style="67" customWidth="1"/>
    <col min="3589" max="3589" width="1.7265625" style="67" customWidth="1"/>
    <col min="3590" max="3592" width="8.7265625" style="67" customWidth="1"/>
    <col min="3593" max="3593" width="1.7265625" style="67" customWidth="1"/>
    <col min="3594" max="3596" width="8.7265625" style="67" customWidth="1"/>
    <col min="3597" max="3840" width="11.453125" style="67"/>
    <col min="3841" max="3844" width="8.7265625" style="67" customWidth="1"/>
    <col min="3845" max="3845" width="1.7265625" style="67" customWidth="1"/>
    <col min="3846" max="3848" width="8.7265625" style="67" customWidth="1"/>
    <col min="3849" max="3849" width="1.7265625" style="67" customWidth="1"/>
    <col min="3850" max="3852" width="8.7265625" style="67" customWidth="1"/>
    <col min="3853" max="4096" width="11.453125" style="67"/>
    <col min="4097" max="4100" width="8.7265625" style="67" customWidth="1"/>
    <col min="4101" max="4101" width="1.7265625" style="67" customWidth="1"/>
    <col min="4102" max="4104" width="8.7265625" style="67" customWidth="1"/>
    <col min="4105" max="4105" width="1.7265625" style="67" customWidth="1"/>
    <col min="4106" max="4108" width="8.7265625" style="67" customWidth="1"/>
    <col min="4109" max="4352" width="11.453125" style="67"/>
    <col min="4353" max="4356" width="8.7265625" style="67" customWidth="1"/>
    <col min="4357" max="4357" width="1.7265625" style="67" customWidth="1"/>
    <col min="4358" max="4360" width="8.7265625" style="67" customWidth="1"/>
    <col min="4361" max="4361" width="1.7265625" style="67" customWidth="1"/>
    <col min="4362" max="4364" width="8.7265625" style="67" customWidth="1"/>
    <col min="4365" max="4608" width="11.453125" style="67"/>
    <col min="4609" max="4612" width="8.7265625" style="67" customWidth="1"/>
    <col min="4613" max="4613" width="1.7265625" style="67" customWidth="1"/>
    <col min="4614" max="4616" width="8.7265625" style="67" customWidth="1"/>
    <col min="4617" max="4617" width="1.7265625" style="67" customWidth="1"/>
    <col min="4618" max="4620" width="8.7265625" style="67" customWidth="1"/>
    <col min="4621" max="4864" width="11.453125" style="67"/>
    <col min="4865" max="4868" width="8.7265625" style="67" customWidth="1"/>
    <col min="4869" max="4869" width="1.7265625" style="67" customWidth="1"/>
    <col min="4870" max="4872" width="8.7265625" style="67" customWidth="1"/>
    <col min="4873" max="4873" width="1.7265625" style="67" customWidth="1"/>
    <col min="4874" max="4876" width="8.7265625" style="67" customWidth="1"/>
    <col min="4877" max="5120" width="11.453125" style="67"/>
    <col min="5121" max="5124" width="8.7265625" style="67" customWidth="1"/>
    <col min="5125" max="5125" width="1.7265625" style="67" customWidth="1"/>
    <col min="5126" max="5128" width="8.7265625" style="67" customWidth="1"/>
    <col min="5129" max="5129" width="1.7265625" style="67" customWidth="1"/>
    <col min="5130" max="5132" width="8.7265625" style="67" customWidth="1"/>
    <col min="5133" max="5376" width="11.453125" style="67"/>
    <col min="5377" max="5380" width="8.7265625" style="67" customWidth="1"/>
    <col min="5381" max="5381" width="1.7265625" style="67" customWidth="1"/>
    <col min="5382" max="5384" width="8.7265625" style="67" customWidth="1"/>
    <col min="5385" max="5385" width="1.7265625" style="67" customWidth="1"/>
    <col min="5386" max="5388" width="8.7265625" style="67" customWidth="1"/>
    <col min="5389" max="5632" width="11.453125" style="67"/>
    <col min="5633" max="5636" width="8.7265625" style="67" customWidth="1"/>
    <col min="5637" max="5637" width="1.7265625" style="67" customWidth="1"/>
    <col min="5638" max="5640" width="8.7265625" style="67" customWidth="1"/>
    <col min="5641" max="5641" width="1.7265625" style="67" customWidth="1"/>
    <col min="5642" max="5644" width="8.7265625" style="67" customWidth="1"/>
    <col min="5645" max="5888" width="11.453125" style="67"/>
    <col min="5889" max="5892" width="8.7265625" style="67" customWidth="1"/>
    <col min="5893" max="5893" width="1.7265625" style="67" customWidth="1"/>
    <col min="5894" max="5896" width="8.7265625" style="67" customWidth="1"/>
    <col min="5897" max="5897" width="1.7265625" style="67" customWidth="1"/>
    <col min="5898" max="5900" width="8.7265625" style="67" customWidth="1"/>
    <col min="5901" max="6144" width="11.453125" style="67"/>
    <col min="6145" max="6148" width="8.7265625" style="67" customWidth="1"/>
    <col min="6149" max="6149" width="1.7265625" style="67" customWidth="1"/>
    <col min="6150" max="6152" width="8.7265625" style="67" customWidth="1"/>
    <col min="6153" max="6153" width="1.7265625" style="67" customWidth="1"/>
    <col min="6154" max="6156" width="8.7265625" style="67" customWidth="1"/>
    <col min="6157" max="6400" width="11.453125" style="67"/>
    <col min="6401" max="6404" width="8.7265625" style="67" customWidth="1"/>
    <col min="6405" max="6405" width="1.7265625" style="67" customWidth="1"/>
    <col min="6406" max="6408" width="8.7265625" style="67" customWidth="1"/>
    <col min="6409" max="6409" width="1.7265625" style="67" customWidth="1"/>
    <col min="6410" max="6412" width="8.7265625" style="67" customWidth="1"/>
    <col min="6413" max="6656" width="11.453125" style="67"/>
    <col min="6657" max="6660" width="8.7265625" style="67" customWidth="1"/>
    <col min="6661" max="6661" width="1.7265625" style="67" customWidth="1"/>
    <col min="6662" max="6664" width="8.7265625" style="67" customWidth="1"/>
    <col min="6665" max="6665" width="1.7265625" style="67" customWidth="1"/>
    <col min="6666" max="6668" width="8.7265625" style="67" customWidth="1"/>
    <col min="6669" max="6912" width="11.453125" style="67"/>
    <col min="6913" max="6916" width="8.7265625" style="67" customWidth="1"/>
    <col min="6917" max="6917" width="1.7265625" style="67" customWidth="1"/>
    <col min="6918" max="6920" width="8.7265625" style="67" customWidth="1"/>
    <col min="6921" max="6921" width="1.7265625" style="67" customWidth="1"/>
    <col min="6922" max="6924" width="8.7265625" style="67" customWidth="1"/>
    <col min="6925" max="7168" width="11.453125" style="67"/>
    <col min="7169" max="7172" width="8.7265625" style="67" customWidth="1"/>
    <col min="7173" max="7173" width="1.7265625" style="67" customWidth="1"/>
    <col min="7174" max="7176" width="8.7265625" style="67" customWidth="1"/>
    <col min="7177" max="7177" width="1.7265625" style="67" customWidth="1"/>
    <col min="7178" max="7180" width="8.7265625" style="67" customWidth="1"/>
    <col min="7181" max="7424" width="11.453125" style="67"/>
    <col min="7425" max="7428" width="8.7265625" style="67" customWidth="1"/>
    <col min="7429" max="7429" width="1.7265625" style="67" customWidth="1"/>
    <col min="7430" max="7432" width="8.7265625" style="67" customWidth="1"/>
    <col min="7433" max="7433" width="1.7265625" style="67" customWidth="1"/>
    <col min="7434" max="7436" width="8.7265625" style="67" customWidth="1"/>
    <col min="7437" max="7680" width="11.453125" style="67"/>
    <col min="7681" max="7684" width="8.7265625" style="67" customWidth="1"/>
    <col min="7685" max="7685" width="1.7265625" style="67" customWidth="1"/>
    <col min="7686" max="7688" width="8.7265625" style="67" customWidth="1"/>
    <col min="7689" max="7689" width="1.7265625" style="67" customWidth="1"/>
    <col min="7690" max="7692" width="8.7265625" style="67" customWidth="1"/>
    <col min="7693" max="7936" width="11.453125" style="67"/>
    <col min="7937" max="7940" width="8.7265625" style="67" customWidth="1"/>
    <col min="7941" max="7941" width="1.7265625" style="67" customWidth="1"/>
    <col min="7942" max="7944" width="8.7265625" style="67" customWidth="1"/>
    <col min="7945" max="7945" width="1.7265625" style="67" customWidth="1"/>
    <col min="7946" max="7948" width="8.7265625" style="67" customWidth="1"/>
    <col min="7949" max="8192" width="11.453125" style="67"/>
    <col min="8193" max="8196" width="8.7265625" style="67" customWidth="1"/>
    <col min="8197" max="8197" width="1.7265625" style="67" customWidth="1"/>
    <col min="8198" max="8200" width="8.7265625" style="67" customWidth="1"/>
    <col min="8201" max="8201" width="1.7265625" style="67" customWidth="1"/>
    <col min="8202" max="8204" width="8.7265625" style="67" customWidth="1"/>
    <col min="8205" max="8448" width="11.453125" style="67"/>
    <col min="8449" max="8452" width="8.7265625" style="67" customWidth="1"/>
    <col min="8453" max="8453" width="1.7265625" style="67" customWidth="1"/>
    <col min="8454" max="8456" width="8.7265625" style="67" customWidth="1"/>
    <col min="8457" max="8457" width="1.7265625" style="67" customWidth="1"/>
    <col min="8458" max="8460" width="8.7265625" style="67" customWidth="1"/>
    <col min="8461" max="8704" width="11.453125" style="67"/>
    <col min="8705" max="8708" width="8.7265625" style="67" customWidth="1"/>
    <col min="8709" max="8709" width="1.7265625" style="67" customWidth="1"/>
    <col min="8710" max="8712" width="8.7265625" style="67" customWidth="1"/>
    <col min="8713" max="8713" width="1.7265625" style="67" customWidth="1"/>
    <col min="8714" max="8716" width="8.7265625" style="67" customWidth="1"/>
    <col min="8717" max="8960" width="11.453125" style="67"/>
    <col min="8961" max="8964" width="8.7265625" style="67" customWidth="1"/>
    <col min="8965" max="8965" width="1.7265625" style="67" customWidth="1"/>
    <col min="8966" max="8968" width="8.7265625" style="67" customWidth="1"/>
    <col min="8969" max="8969" width="1.7265625" style="67" customWidth="1"/>
    <col min="8970" max="8972" width="8.7265625" style="67" customWidth="1"/>
    <col min="8973" max="9216" width="11.453125" style="67"/>
    <col min="9217" max="9220" width="8.7265625" style="67" customWidth="1"/>
    <col min="9221" max="9221" width="1.7265625" style="67" customWidth="1"/>
    <col min="9222" max="9224" width="8.7265625" style="67" customWidth="1"/>
    <col min="9225" max="9225" width="1.7265625" style="67" customWidth="1"/>
    <col min="9226" max="9228" width="8.7265625" style="67" customWidth="1"/>
    <col min="9229" max="9472" width="11.453125" style="67"/>
    <col min="9473" max="9476" width="8.7265625" style="67" customWidth="1"/>
    <col min="9477" max="9477" width="1.7265625" style="67" customWidth="1"/>
    <col min="9478" max="9480" width="8.7265625" style="67" customWidth="1"/>
    <col min="9481" max="9481" width="1.7265625" style="67" customWidth="1"/>
    <col min="9482" max="9484" width="8.7265625" style="67" customWidth="1"/>
    <col min="9485" max="9728" width="11.453125" style="67"/>
    <col min="9729" max="9732" width="8.7265625" style="67" customWidth="1"/>
    <col min="9733" max="9733" width="1.7265625" style="67" customWidth="1"/>
    <col min="9734" max="9736" width="8.7265625" style="67" customWidth="1"/>
    <col min="9737" max="9737" width="1.7265625" style="67" customWidth="1"/>
    <col min="9738" max="9740" width="8.7265625" style="67" customWidth="1"/>
    <col min="9741" max="9984" width="11.453125" style="67"/>
    <col min="9985" max="9988" width="8.7265625" style="67" customWidth="1"/>
    <col min="9989" max="9989" width="1.7265625" style="67" customWidth="1"/>
    <col min="9990" max="9992" width="8.7265625" style="67" customWidth="1"/>
    <col min="9993" max="9993" width="1.7265625" style="67" customWidth="1"/>
    <col min="9994" max="9996" width="8.7265625" style="67" customWidth="1"/>
    <col min="9997" max="10240" width="11.453125" style="67"/>
    <col min="10241" max="10244" width="8.7265625" style="67" customWidth="1"/>
    <col min="10245" max="10245" width="1.7265625" style="67" customWidth="1"/>
    <col min="10246" max="10248" width="8.7265625" style="67" customWidth="1"/>
    <col min="10249" max="10249" width="1.7265625" style="67" customWidth="1"/>
    <col min="10250" max="10252" width="8.7265625" style="67" customWidth="1"/>
    <col min="10253" max="10496" width="11.453125" style="67"/>
    <col min="10497" max="10500" width="8.7265625" style="67" customWidth="1"/>
    <col min="10501" max="10501" width="1.7265625" style="67" customWidth="1"/>
    <col min="10502" max="10504" width="8.7265625" style="67" customWidth="1"/>
    <col min="10505" max="10505" width="1.7265625" style="67" customWidth="1"/>
    <col min="10506" max="10508" width="8.7265625" style="67" customWidth="1"/>
    <col min="10509" max="10752" width="11.453125" style="67"/>
    <col min="10753" max="10756" width="8.7265625" style="67" customWidth="1"/>
    <col min="10757" max="10757" width="1.7265625" style="67" customWidth="1"/>
    <col min="10758" max="10760" width="8.7265625" style="67" customWidth="1"/>
    <col min="10761" max="10761" width="1.7265625" style="67" customWidth="1"/>
    <col min="10762" max="10764" width="8.7265625" style="67" customWidth="1"/>
    <col min="10765" max="11008" width="11.453125" style="67"/>
    <col min="11009" max="11012" width="8.7265625" style="67" customWidth="1"/>
    <col min="11013" max="11013" width="1.7265625" style="67" customWidth="1"/>
    <col min="11014" max="11016" width="8.7265625" style="67" customWidth="1"/>
    <col min="11017" max="11017" width="1.7265625" style="67" customWidth="1"/>
    <col min="11018" max="11020" width="8.7265625" style="67" customWidth="1"/>
    <col min="11021" max="11264" width="11.453125" style="67"/>
    <col min="11265" max="11268" width="8.7265625" style="67" customWidth="1"/>
    <col min="11269" max="11269" width="1.7265625" style="67" customWidth="1"/>
    <col min="11270" max="11272" width="8.7265625" style="67" customWidth="1"/>
    <col min="11273" max="11273" width="1.7265625" style="67" customWidth="1"/>
    <col min="11274" max="11276" width="8.7265625" style="67" customWidth="1"/>
    <col min="11277" max="11520" width="11.453125" style="67"/>
    <col min="11521" max="11524" width="8.7265625" style="67" customWidth="1"/>
    <col min="11525" max="11525" width="1.7265625" style="67" customWidth="1"/>
    <col min="11526" max="11528" width="8.7265625" style="67" customWidth="1"/>
    <col min="11529" max="11529" width="1.7265625" style="67" customWidth="1"/>
    <col min="11530" max="11532" width="8.7265625" style="67" customWidth="1"/>
    <col min="11533" max="11776" width="11.453125" style="67"/>
    <col min="11777" max="11780" width="8.7265625" style="67" customWidth="1"/>
    <col min="11781" max="11781" width="1.7265625" style="67" customWidth="1"/>
    <col min="11782" max="11784" width="8.7265625" style="67" customWidth="1"/>
    <col min="11785" max="11785" width="1.7265625" style="67" customWidth="1"/>
    <col min="11786" max="11788" width="8.7265625" style="67" customWidth="1"/>
    <col min="11789" max="12032" width="11.453125" style="67"/>
    <col min="12033" max="12036" width="8.7265625" style="67" customWidth="1"/>
    <col min="12037" max="12037" width="1.7265625" style="67" customWidth="1"/>
    <col min="12038" max="12040" width="8.7265625" style="67" customWidth="1"/>
    <col min="12041" max="12041" width="1.7265625" style="67" customWidth="1"/>
    <col min="12042" max="12044" width="8.7265625" style="67" customWidth="1"/>
    <col min="12045" max="12288" width="11.453125" style="67"/>
    <col min="12289" max="12292" width="8.7265625" style="67" customWidth="1"/>
    <col min="12293" max="12293" width="1.7265625" style="67" customWidth="1"/>
    <col min="12294" max="12296" width="8.7265625" style="67" customWidth="1"/>
    <col min="12297" max="12297" width="1.7265625" style="67" customWidth="1"/>
    <col min="12298" max="12300" width="8.7265625" style="67" customWidth="1"/>
    <col min="12301" max="12544" width="11.453125" style="67"/>
    <col min="12545" max="12548" width="8.7265625" style="67" customWidth="1"/>
    <col min="12549" max="12549" width="1.7265625" style="67" customWidth="1"/>
    <col min="12550" max="12552" width="8.7265625" style="67" customWidth="1"/>
    <col min="12553" max="12553" width="1.7265625" style="67" customWidth="1"/>
    <col min="12554" max="12556" width="8.7265625" style="67" customWidth="1"/>
    <col min="12557" max="12800" width="11.453125" style="67"/>
    <col min="12801" max="12804" width="8.7265625" style="67" customWidth="1"/>
    <col min="12805" max="12805" width="1.7265625" style="67" customWidth="1"/>
    <col min="12806" max="12808" width="8.7265625" style="67" customWidth="1"/>
    <col min="12809" max="12809" width="1.7265625" style="67" customWidth="1"/>
    <col min="12810" max="12812" width="8.7265625" style="67" customWidth="1"/>
    <col min="12813" max="13056" width="11.453125" style="67"/>
    <col min="13057" max="13060" width="8.7265625" style="67" customWidth="1"/>
    <col min="13061" max="13061" width="1.7265625" style="67" customWidth="1"/>
    <col min="13062" max="13064" width="8.7265625" style="67" customWidth="1"/>
    <col min="13065" max="13065" width="1.7265625" style="67" customWidth="1"/>
    <col min="13066" max="13068" width="8.7265625" style="67" customWidth="1"/>
    <col min="13069" max="13312" width="11.453125" style="67"/>
    <col min="13313" max="13316" width="8.7265625" style="67" customWidth="1"/>
    <col min="13317" max="13317" width="1.7265625" style="67" customWidth="1"/>
    <col min="13318" max="13320" width="8.7265625" style="67" customWidth="1"/>
    <col min="13321" max="13321" width="1.7265625" style="67" customWidth="1"/>
    <col min="13322" max="13324" width="8.7265625" style="67" customWidth="1"/>
    <col min="13325" max="13568" width="11.453125" style="67"/>
    <col min="13569" max="13572" width="8.7265625" style="67" customWidth="1"/>
    <col min="13573" max="13573" width="1.7265625" style="67" customWidth="1"/>
    <col min="13574" max="13576" width="8.7265625" style="67" customWidth="1"/>
    <col min="13577" max="13577" width="1.7265625" style="67" customWidth="1"/>
    <col min="13578" max="13580" width="8.7265625" style="67" customWidth="1"/>
    <col min="13581" max="13824" width="11.453125" style="67"/>
    <col min="13825" max="13828" width="8.7265625" style="67" customWidth="1"/>
    <col min="13829" max="13829" width="1.7265625" style="67" customWidth="1"/>
    <col min="13830" max="13832" width="8.7265625" style="67" customWidth="1"/>
    <col min="13833" max="13833" width="1.7265625" style="67" customWidth="1"/>
    <col min="13834" max="13836" width="8.7265625" style="67" customWidth="1"/>
    <col min="13837" max="14080" width="11.453125" style="67"/>
    <col min="14081" max="14084" width="8.7265625" style="67" customWidth="1"/>
    <col min="14085" max="14085" width="1.7265625" style="67" customWidth="1"/>
    <col min="14086" max="14088" width="8.7265625" style="67" customWidth="1"/>
    <col min="14089" max="14089" width="1.7265625" style="67" customWidth="1"/>
    <col min="14090" max="14092" width="8.7265625" style="67" customWidth="1"/>
    <col min="14093" max="14336" width="11.453125" style="67"/>
    <col min="14337" max="14340" width="8.7265625" style="67" customWidth="1"/>
    <col min="14341" max="14341" width="1.7265625" style="67" customWidth="1"/>
    <col min="14342" max="14344" width="8.7265625" style="67" customWidth="1"/>
    <col min="14345" max="14345" width="1.7265625" style="67" customWidth="1"/>
    <col min="14346" max="14348" width="8.7265625" style="67" customWidth="1"/>
    <col min="14349" max="14592" width="11.453125" style="67"/>
    <col min="14593" max="14596" width="8.7265625" style="67" customWidth="1"/>
    <col min="14597" max="14597" width="1.7265625" style="67" customWidth="1"/>
    <col min="14598" max="14600" width="8.7265625" style="67" customWidth="1"/>
    <col min="14601" max="14601" width="1.7265625" style="67" customWidth="1"/>
    <col min="14602" max="14604" width="8.7265625" style="67" customWidth="1"/>
    <col min="14605" max="14848" width="11.453125" style="67"/>
    <col min="14849" max="14852" width="8.7265625" style="67" customWidth="1"/>
    <col min="14853" max="14853" width="1.7265625" style="67" customWidth="1"/>
    <col min="14854" max="14856" width="8.7265625" style="67" customWidth="1"/>
    <col min="14857" max="14857" width="1.7265625" style="67" customWidth="1"/>
    <col min="14858" max="14860" width="8.7265625" style="67" customWidth="1"/>
    <col min="14861" max="15104" width="11.453125" style="67"/>
    <col min="15105" max="15108" width="8.7265625" style="67" customWidth="1"/>
    <col min="15109" max="15109" width="1.7265625" style="67" customWidth="1"/>
    <col min="15110" max="15112" width="8.7265625" style="67" customWidth="1"/>
    <col min="15113" max="15113" width="1.7265625" style="67" customWidth="1"/>
    <col min="15114" max="15116" width="8.7265625" style="67" customWidth="1"/>
    <col min="15117" max="15360" width="11.453125" style="67"/>
    <col min="15361" max="15364" width="8.7265625" style="67" customWidth="1"/>
    <col min="15365" max="15365" width="1.7265625" style="67" customWidth="1"/>
    <col min="15366" max="15368" width="8.7265625" style="67" customWidth="1"/>
    <col min="15369" max="15369" width="1.7265625" style="67" customWidth="1"/>
    <col min="15370" max="15372" width="8.7265625" style="67" customWidth="1"/>
    <col min="15373" max="15616" width="11.453125" style="67"/>
    <col min="15617" max="15620" width="8.7265625" style="67" customWidth="1"/>
    <col min="15621" max="15621" width="1.7265625" style="67" customWidth="1"/>
    <col min="15622" max="15624" width="8.7265625" style="67" customWidth="1"/>
    <col min="15625" max="15625" width="1.7265625" style="67" customWidth="1"/>
    <col min="15626" max="15628" width="8.7265625" style="67" customWidth="1"/>
    <col min="15629" max="15872" width="11.453125" style="67"/>
    <col min="15873" max="15876" width="8.7265625" style="67" customWidth="1"/>
    <col min="15877" max="15877" width="1.7265625" style="67" customWidth="1"/>
    <col min="15878" max="15880" width="8.7265625" style="67" customWidth="1"/>
    <col min="15881" max="15881" width="1.7265625" style="67" customWidth="1"/>
    <col min="15882" max="15884" width="8.7265625" style="67" customWidth="1"/>
    <col min="15885" max="16128" width="11.453125" style="67"/>
    <col min="16129" max="16132" width="8.7265625" style="67" customWidth="1"/>
    <col min="16133" max="16133" width="1.7265625" style="67" customWidth="1"/>
    <col min="16134" max="16136" width="8.7265625" style="67" customWidth="1"/>
    <col min="16137" max="16137" width="1.7265625" style="67" customWidth="1"/>
    <col min="16138" max="16140" width="8.7265625" style="67" customWidth="1"/>
    <col min="16141" max="16384" width="11.453125" style="67"/>
  </cols>
  <sheetData>
    <row r="1" spans="1:12" ht="14" x14ac:dyDescent="0.3">
      <c r="A1" s="6" t="s">
        <v>154</v>
      </c>
      <c r="B1" s="7"/>
      <c r="C1" s="7"/>
      <c r="D1" s="7"/>
      <c r="E1" s="8"/>
      <c r="F1" s="7"/>
      <c r="G1" s="7"/>
      <c r="H1" s="7"/>
      <c r="I1" s="8"/>
      <c r="J1" s="7"/>
      <c r="K1" s="7"/>
      <c r="L1" s="7"/>
    </row>
    <row r="2" spans="1:12" ht="14" x14ac:dyDescent="0.3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</row>
    <row r="3" spans="1:12" x14ac:dyDescent="0.25">
      <c r="A3" s="66"/>
      <c r="B3" s="61"/>
      <c r="C3" s="61"/>
      <c r="D3" s="61"/>
      <c r="E3" s="58"/>
      <c r="F3" s="61"/>
      <c r="G3" s="61"/>
      <c r="H3" s="61"/>
      <c r="I3" s="58"/>
      <c r="J3" s="61"/>
      <c r="K3" s="61"/>
      <c r="L3" s="61"/>
    </row>
    <row r="4" spans="1:12" x14ac:dyDescent="0.25">
      <c r="A4" s="74"/>
      <c r="B4" s="75" t="s">
        <v>34</v>
      </c>
      <c r="C4" s="75"/>
      <c r="D4" s="75"/>
      <c r="E4" s="76"/>
      <c r="F4" s="75" t="s">
        <v>49</v>
      </c>
      <c r="G4" s="75"/>
      <c r="H4" s="75"/>
      <c r="I4" s="76"/>
      <c r="J4" s="75" t="s">
        <v>55</v>
      </c>
      <c r="K4" s="75"/>
      <c r="L4" s="75"/>
    </row>
    <row r="5" spans="1:12" x14ac:dyDescent="0.25">
      <c r="A5" s="77"/>
      <c r="B5" s="78" t="s">
        <v>56</v>
      </c>
      <c r="C5" s="78" t="s">
        <v>57</v>
      </c>
      <c r="D5" s="78"/>
      <c r="E5" s="79"/>
      <c r="F5" s="78" t="s">
        <v>56</v>
      </c>
      <c r="G5" s="78" t="s">
        <v>57</v>
      </c>
      <c r="H5" s="78"/>
      <c r="I5" s="79"/>
      <c r="J5" s="78" t="s">
        <v>56</v>
      </c>
      <c r="K5" s="78" t="s">
        <v>57</v>
      </c>
      <c r="L5" s="78"/>
    </row>
    <row r="6" spans="1:12" x14ac:dyDescent="0.25">
      <c r="A6" s="22"/>
      <c r="B6" s="23" t="s">
        <v>58</v>
      </c>
      <c r="C6" s="23" t="s">
        <v>58</v>
      </c>
      <c r="D6" s="23" t="s">
        <v>35</v>
      </c>
      <c r="E6" s="25"/>
      <c r="F6" s="23" t="s">
        <v>58</v>
      </c>
      <c r="G6" s="23" t="s">
        <v>58</v>
      </c>
      <c r="H6" s="23" t="s">
        <v>35</v>
      </c>
      <c r="I6" s="25"/>
      <c r="J6" s="23" t="s">
        <v>58</v>
      </c>
      <c r="K6" s="23" t="s">
        <v>58</v>
      </c>
      <c r="L6" s="23" t="s">
        <v>35</v>
      </c>
    </row>
    <row r="7" spans="1:12" x14ac:dyDescent="0.25">
      <c r="A7" s="27"/>
      <c r="B7" s="61"/>
      <c r="C7" s="61"/>
      <c r="D7" s="61"/>
      <c r="E7" s="58"/>
      <c r="F7" s="61"/>
      <c r="G7" s="61"/>
      <c r="H7" s="61"/>
      <c r="I7" s="58"/>
      <c r="J7" s="61"/>
      <c r="K7" s="61"/>
      <c r="L7" s="61"/>
    </row>
    <row r="8" spans="1:12" hidden="1" x14ac:dyDescent="0.25">
      <c r="A8" s="31">
        <v>1986</v>
      </c>
      <c r="B8" s="32" t="s">
        <v>52</v>
      </c>
      <c r="C8" s="64">
        <v>5282</v>
      </c>
      <c r="D8" s="64">
        <v>5282</v>
      </c>
      <c r="E8" s="53"/>
      <c r="F8" s="32" t="s">
        <v>52</v>
      </c>
      <c r="G8" s="64">
        <v>738166</v>
      </c>
      <c r="H8" s="64">
        <v>738166</v>
      </c>
      <c r="I8" s="53"/>
      <c r="J8" s="32" t="s">
        <v>52</v>
      </c>
      <c r="K8" s="32" t="s">
        <v>52</v>
      </c>
      <c r="L8" s="32" t="s">
        <v>52</v>
      </c>
    </row>
    <row r="9" spans="1:12" x14ac:dyDescent="0.25">
      <c r="A9" s="31">
        <v>1987</v>
      </c>
      <c r="B9" s="32">
        <v>0</v>
      </c>
      <c r="C9" s="64">
        <v>5252</v>
      </c>
      <c r="D9" s="64">
        <v>5252</v>
      </c>
      <c r="E9" s="53"/>
      <c r="F9" s="32">
        <v>0</v>
      </c>
      <c r="G9" s="64">
        <v>774930</v>
      </c>
      <c r="H9" s="64">
        <v>774930</v>
      </c>
      <c r="I9" s="53"/>
      <c r="J9" s="32">
        <v>0</v>
      </c>
      <c r="K9" s="32">
        <v>0</v>
      </c>
      <c r="L9" s="32">
        <f>SUM(J9:K9)</f>
        <v>0</v>
      </c>
    </row>
    <row r="10" spans="1:12" x14ac:dyDescent="0.25">
      <c r="A10" s="36">
        <v>1988</v>
      </c>
      <c r="B10" s="195">
        <v>36</v>
      </c>
      <c r="C10" s="195">
        <v>5249</v>
      </c>
      <c r="D10" s="195">
        <v>5285</v>
      </c>
      <c r="E10" s="80"/>
      <c r="F10" s="195">
        <v>1533</v>
      </c>
      <c r="G10" s="195">
        <v>724054</v>
      </c>
      <c r="H10" s="195">
        <v>725587</v>
      </c>
      <c r="I10" s="80"/>
      <c r="J10" s="37">
        <v>0</v>
      </c>
      <c r="K10" s="37">
        <v>0</v>
      </c>
      <c r="L10" s="37">
        <f>SUM(J10:K10)</f>
        <v>0</v>
      </c>
    </row>
    <row r="11" spans="1:12" x14ac:dyDescent="0.25">
      <c r="A11" s="31">
        <v>1989</v>
      </c>
      <c r="B11" s="64">
        <v>22</v>
      </c>
      <c r="C11" s="64">
        <v>4280</v>
      </c>
      <c r="D11" s="64">
        <v>4302</v>
      </c>
      <c r="E11" s="53"/>
      <c r="F11" s="64">
        <v>1000</v>
      </c>
      <c r="G11" s="64">
        <v>616000</v>
      </c>
      <c r="H11" s="64">
        <v>617000</v>
      </c>
      <c r="I11" s="53"/>
      <c r="J11" s="32">
        <v>0</v>
      </c>
      <c r="K11" s="32">
        <v>0</v>
      </c>
      <c r="L11" s="32">
        <f>SUM(J11:K11)</f>
        <v>0</v>
      </c>
    </row>
    <row r="12" spans="1:12" x14ac:dyDescent="0.25">
      <c r="A12" s="36">
        <v>1990</v>
      </c>
      <c r="B12" s="195">
        <v>199</v>
      </c>
      <c r="C12" s="195">
        <v>3154</v>
      </c>
      <c r="D12" s="195">
        <v>3353</v>
      </c>
      <c r="E12" s="80"/>
      <c r="F12" s="195">
        <v>9049</v>
      </c>
      <c r="G12" s="195">
        <v>393159</v>
      </c>
      <c r="H12" s="195">
        <v>402208</v>
      </c>
      <c r="I12" s="80"/>
      <c r="J12" s="37">
        <v>0</v>
      </c>
      <c r="K12" s="37">
        <v>0</v>
      </c>
      <c r="L12" s="37">
        <f>SUM(J12:K12)</f>
        <v>0</v>
      </c>
    </row>
    <row r="13" spans="1:12" x14ac:dyDescent="0.25">
      <c r="A13" s="31">
        <v>1991</v>
      </c>
      <c r="B13" s="64">
        <v>4</v>
      </c>
      <c r="C13" s="64">
        <v>2360</v>
      </c>
      <c r="D13" s="64">
        <v>2364</v>
      </c>
      <c r="E13" s="53"/>
      <c r="F13" s="64">
        <v>130</v>
      </c>
      <c r="G13" s="64">
        <v>283458</v>
      </c>
      <c r="H13" s="64">
        <v>283588</v>
      </c>
      <c r="I13" s="53"/>
      <c r="J13" s="32">
        <v>0</v>
      </c>
      <c r="K13" s="64">
        <v>23</v>
      </c>
      <c r="L13" s="64">
        <v>23</v>
      </c>
    </row>
    <row r="14" spans="1:12" x14ac:dyDescent="0.25">
      <c r="A14" s="36">
        <v>1992</v>
      </c>
      <c r="B14" s="37">
        <v>0</v>
      </c>
      <c r="C14" s="195">
        <v>2348</v>
      </c>
      <c r="D14" s="195">
        <v>2348</v>
      </c>
      <c r="E14" s="80"/>
      <c r="F14" s="37">
        <v>0</v>
      </c>
      <c r="G14" s="195">
        <v>286957</v>
      </c>
      <c r="H14" s="195">
        <v>286957</v>
      </c>
      <c r="I14" s="80"/>
      <c r="J14" s="37">
        <v>0</v>
      </c>
      <c r="K14" s="195">
        <v>193</v>
      </c>
      <c r="L14" s="195">
        <v>193</v>
      </c>
    </row>
    <row r="15" spans="1:12" x14ac:dyDescent="0.25">
      <c r="A15" s="31">
        <v>1993</v>
      </c>
      <c r="B15" s="64">
        <v>50</v>
      </c>
      <c r="C15" s="64">
        <v>2100</v>
      </c>
      <c r="D15" s="64">
        <v>2150</v>
      </c>
      <c r="E15" s="53"/>
      <c r="F15" s="64">
        <v>9932</v>
      </c>
      <c r="G15" s="64">
        <v>246125</v>
      </c>
      <c r="H15" s="64">
        <v>256057</v>
      </c>
      <c r="I15" s="53"/>
      <c r="J15" s="32">
        <v>0</v>
      </c>
      <c r="K15" s="64">
        <v>97</v>
      </c>
      <c r="L15" s="64">
        <v>97</v>
      </c>
    </row>
    <row r="16" spans="1:12" x14ac:dyDescent="0.25">
      <c r="A16" s="36">
        <v>1994</v>
      </c>
      <c r="B16" s="195">
        <v>77</v>
      </c>
      <c r="C16" s="195">
        <v>2623</v>
      </c>
      <c r="D16" s="195">
        <v>2700</v>
      </c>
      <c r="E16" s="80"/>
      <c r="F16" s="195">
        <v>11860</v>
      </c>
      <c r="G16" s="195">
        <v>361474</v>
      </c>
      <c r="H16" s="195">
        <v>373334</v>
      </c>
      <c r="I16" s="80"/>
      <c r="J16" s="195">
        <v>0.6</v>
      </c>
      <c r="K16" s="195">
        <v>39.682000000000002</v>
      </c>
      <c r="L16" s="80">
        <v>40.281999999999996</v>
      </c>
    </row>
    <row r="17" spans="1:12" x14ac:dyDescent="0.25">
      <c r="A17" s="31">
        <v>1995</v>
      </c>
      <c r="B17" s="64">
        <v>95</v>
      </c>
      <c r="C17" s="64">
        <v>3518</v>
      </c>
      <c r="D17" s="64">
        <v>3613</v>
      </c>
      <c r="E17" s="53"/>
      <c r="F17" s="64">
        <v>13677</v>
      </c>
      <c r="G17" s="64">
        <v>510661</v>
      </c>
      <c r="H17" s="64">
        <v>524338</v>
      </c>
      <c r="I17" s="53"/>
      <c r="J17" s="32">
        <v>0</v>
      </c>
      <c r="K17" s="64">
        <v>10.954000000000001</v>
      </c>
      <c r="L17" s="53">
        <v>10.978999999999999</v>
      </c>
    </row>
    <row r="18" spans="1:12" x14ac:dyDescent="0.25">
      <c r="A18" s="36">
        <v>1996</v>
      </c>
      <c r="B18" s="195">
        <v>115</v>
      </c>
      <c r="C18" s="195">
        <v>2949</v>
      </c>
      <c r="D18" s="195">
        <v>3064</v>
      </c>
      <c r="E18" s="80"/>
      <c r="F18" s="195">
        <v>17431</v>
      </c>
      <c r="G18" s="195">
        <v>437531</v>
      </c>
      <c r="H18" s="195">
        <v>454962</v>
      </c>
      <c r="I18" s="80"/>
      <c r="J18" s="37">
        <v>1</v>
      </c>
      <c r="K18" s="195">
        <v>13</v>
      </c>
      <c r="L18" s="80">
        <v>14</v>
      </c>
    </row>
    <row r="19" spans="1:12" x14ac:dyDescent="0.25">
      <c r="A19" s="31">
        <v>1997</v>
      </c>
      <c r="B19" s="64">
        <f>7+150</f>
        <v>157</v>
      </c>
      <c r="C19" s="64">
        <f>299+3393</f>
        <v>3692</v>
      </c>
      <c r="D19" s="64">
        <f t="shared" ref="D19:D32" si="0">B19+C19</f>
        <v>3849</v>
      </c>
      <c r="E19" s="53"/>
      <c r="F19" s="64">
        <f>4+19727</f>
        <v>19731</v>
      </c>
      <c r="G19" s="64">
        <f>1668+485525</f>
        <v>487193</v>
      </c>
      <c r="H19" s="64">
        <f t="shared" ref="H19:H32" si="1">F19+G19</f>
        <v>506924</v>
      </c>
      <c r="I19" s="53"/>
      <c r="J19" s="32">
        <v>0</v>
      </c>
      <c r="K19" s="64">
        <v>55</v>
      </c>
      <c r="L19" s="64">
        <v>55</v>
      </c>
    </row>
    <row r="20" spans="1:12" x14ac:dyDescent="0.25">
      <c r="A20" s="36">
        <v>1998</v>
      </c>
      <c r="B20" s="195">
        <f>15+413</f>
        <v>428</v>
      </c>
      <c r="C20" s="195">
        <f>614+3892</f>
        <v>4506</v>
      </c>
      <c r="D20" s="195">
        <f t="shared" si="0"/>
        <v>4934</v>
      </c>
      <c r="E20" s="80"/>
      <c r="F20" s="195">
        <f>198+42201</f>
        <v>42399</v>
      </c>
      <c r="G20" s="195">
        <f>2923+540412</f>
        <v>543335</v>
      </c>
      <c r="H20" s="195">
        <f t="shared" si="1"/>
        <v>585734</v>
      </c>
      <c r="I20" s="80"/>
      <c r="J20" s="37">
        <f>48+0</f>
        <v>48</v>
      </c>
      <c r="K20" s="195">
        <f>12+142</f>
        <v>154</v>
      </c>
      <c r="L20" s="195">
        <f t="shared" ref="L20:L25" si="2">SUM(J20:K20)</f>
        <v>202</v>
      </c>
    </row>
    <row r="21" spans="1:12" x14ac:dyDescent="0.25">
      <c r="A21" s="31">
        <v>1999</v>
      </c>
      <c r="B21" s="64">
        <f>158+644</f>
        <v>802</v>
      </c>
      <c r="C21" s="64">
        <f>268+3826</f>
        <v>4094</v>
      </c>
      <c r="D21" s="64">
        <f t="shared" si="0"/>
        <v>4896</v>
      </c>
      <c r="E21" s="53"/>
      <c r="F21" s="64">
        <f>2397+55729</f>
        <v>58126</v>
      </c>
      <c r="G21" s="64">
        <f>2740+545545</f>
        <v>548285</v>
      </c>
      <c r="H21" s="64">
        <f t="shared" si="1"/>
        <v>606411</v>
      </c>
      <c r="I21" s="53"/>
      <c r="J21" s="32">
        <f>35.3+171.6</f>
        <v>206.89999999999998</v>
      </c>
      <c r="K21" s="64">
        <f>10.7</f>
        <v>10.7</v>
      </c>
      <c r="L21" s="64">
        <f t="shared" si="2"/>
        <v>217.59999999999997</v>
      </c>
    </row>
    <row r="22" spans="1:12" x14ac:dyDescent="0.25">
      <c r="A22" s="36">
        <v>2000</v>
      </c>
      <c r="B22" s="195">
        <f>1177+547</f>
        <v>1724</v>
      </c>
      <c r="C22" s="195">
        <f>154+3703</f>
        <v>3857</v>
      </c>
      <c r="D22" s="195">
        <f t="shared" si="0"/>
        <v>5581</v>
      </c>
      <c r="E22" s="80"/>
      <c r="F22" s="195">
        <f>23541+39491</f>
        <v>63032</v>
      </c>
      <c r="G22" s="195">
        <f>1202+562988</f>
        <v>564190</v>
      </c>
      <c r="H22" s="195">
        <f t="shared" si="1"/>
        <v>627222</v>
      </c>
      <c r="I22" s="80"/>
      <c r="J22" s="37">
        <f>9.763+356.976</f>
        <v>366.73899999999998</v>
      </c>
      <c r="K22" s="195">
        <f>15.289</f>
        <v>15.289</v>
      </c>
      <c r="L22" s="195">
        <f t="shared" si="2"/>
        <v>382.02799999999996</v>
      </c>
    </row>
    <row r="23" spans="1:12" x14ac:dyDescent="0.25">
      <c r="A23" s="31">
        <v>2001</v>
      </c>
      <c r="B23" s="64">
        <f>903+471</f>
        <v>1374</v>
      </c>
      <c r="C23" s="64">
        <f>229+3688</f>
        <v>3917</v>
      </c>
      <c r="D23" s="64">
        <f t="shared" si="0"/>
        <v>5291</v>
      </c>
      <c r="E23" s="53"/>
      <c r="F23" s="64">
        <f>19064+49452</f>
        <v>68516</v>
      </c>
      <c r="G23" s="64">
        <f>770+533202</f>
        <v>533972</v>
      </c>
      <c r="H23" s="64">
        <f t="shared" si="1"/>
        <v>602488</v>
      </c>
      <c r="I23" s="53"/>
      <c r="J23" s="32">
        <f>2.593+9.298</f>
        <v>11.891</v>
      </c>
      <c r="K23" s="64">
        <f>5.06+155.568</f>
        <v>160.62800000000001</v>
      </c>
      <c r="L23" s="64">
        <f t="shared" si="2"/>
        <v>172.51900000000001</v>
      </c>
    </row>
    <row r="24" spans="1:12" x14ac:dyDescent="0.25">
      <c r="A24" s="36">
        <v>2002</v>
      </c>
      <c r="B24" s="195">
        <f>647+480</f>
        <v>1127</v>
      </c>
      <c r="C24" s="195">
        <f>669+3537</f>
        <v>4206</v>
      </c>
      <c r="D24" s="195">
        <f t="shared" si="0"/>
        <v>5333</v>
      </c>
      <c r="E24" s="80"/>
      <c r="F24" s="195">
        <f>6970+61863</f>
        <v>68833</v>
      </c>
      <c r="G24" s="195">
        <f>4346+461004</f>
        <v>465350</v>
      </c>
      <c r="H24" s="195">
        <f t="shared" si="1"/>
        <v>534183</v>
      </c>
      <c r="I24" s="80"/>
      <c r="J24" s="37">
        <f>1.2+0.682</f>
        <v>1.8820000000000001</v>
      </c>
      <c r="K24" s="195">
        <f>10.867+477.952</f>
        <v>488.81900000000002</v>
      </c>
      <c r="L24" s="195">
        <f t="shared" si="2"/>
        <v>490.70100000000002</v>
      </c>
    </row>
    <row r="25" spans="1:12" x14ac:dyDescent="0.25">
      <c r="A25" s="31">
        <v>2003</v>
      </c>
      <c r="B25" s="64">
        <f>2+7194</f>
        <v>7196</v>
      </c>
      <c r="C25" s="64">
        <f>173+3022</f>
        <v>3195</v>
      </c>
      <c r="D25" s="64">
        <f t="shared" si="0"/>
        <v>10391</v>
      </c>
      <c r="E25" s="53"/>
      <c r="F25" s="64">
        <f>142+1006016</f>
        <v>1006158</v>
      </c>
      <c r="G25" s="64">
        <f>1206+420521</f>
        <v>421727</v>
      </c>
      <c r="H25" s="64">
        <f t="shared" si="1"/>
        <v>1427885</v>
      </c>
      <c r="I25" s="53"/>
      <c r="J25" s="32">
        <v>2.5979999999999999</v>
      </c>
      <c r="K25" s="64">
        <f>7.971+272.461</f>
        <v>280.43200000000002</v>
      </c>
      <c r="L25" s="64">
        <f t="shared" si="2"/>
        <v>283.03000000000003</v>
      </c>
    </row>
    <row r="26" spans="1:12" x14ac:dyDescent="0.25">
      <c r="A26" s="36">
        <v>2004</v>
      </c>
      <c r="B26" s="195">
        <f>12+17091</f>
        <v>17103</v>
      </c>
      <c r="C26" s="195">
        <f>154+2950</f>
        <v>3104</v>
      </c>
      <c r="D26" s="195">
        <f t="shared" si="0"/>
        <v>20207</v>
      </c>
      <c r="E26" s="80"/>
      <c r="F26" s="195">
        <f>100+2514656</f>
        <v>2514756</v>
      </c>
      <c r="G26" s="195">
        <f>1312+420461</f>
        <v>421773</v>
      </c>
      <c r="H26" s="195">
        <f t="shared" si="1"/>
        <v>2936529</v>
      </c>
      <c r="I26" s="80"/>
      <c r="J26" s="37">
        <f>2.169</f>
        <v>2.169</v>
      </c>
      <c r="K26" s="195">
        <f>1.3+139.304</f>
        <v>140.60400000000001</v>
      </c>
      <c r="L26" s="195">
        <f t="shared" ref="L26:L32" si="3">SUM(J26:K26)</f>
        <v>142.77300000000002</v>
      </c>
    </row>
    <row r="27" spans="1:12" x14ac:dyDescent="0.25">
      <c r="A27" s="31">
        <v>2005</v>
      </c>
      <c r="B27" s="64">
        <f>9+20741</f>
        <v>20750</v>
      </c>
      <c r="C27" s="64">
        <f>209+2723</f>
        <v>2932</v>
      </c>
      <c r="D27" s="64">
        <f t="shared" si="0"/>
        <v>23682</v>
      </c>
      <c r="E27" s="53"/>
      <c r="F27" s="64">
        <f>583+3173862</f>
        <v>3174445</v>
      </c>
      <c r="G27" s="64">
        <f>2592+336575</f>
        <v>339167</v>
      </c>
      <c r="H27" s="64">
        <f t="shared" si="1"/>
        <v>3513612</v>
      </c>
      <c r="I27" s="53"/>
      <c r="J27" s="32">
        <v>0</v>
      </c>
      <c r="K27" s="64">
        <f>2.18+236.842</f>
        <v>239.02200000000002</v>
      </c>
      <c r="L27" s="64">
        <f t="shared" si="3"/>
        <v>239.02200000000002</v>
      </c>
    </row>
    <row r="28" spans="1:12" x14ac:dyDescent="0.25">
      <c r="A28" s="36">
        <v>2006</v>
      </c>
      <c r="B28" s="195">
        <f>8+20870</f>
        <v>20878</v>
      </c>
      <c r="C28" s="195">
        <f>239+3118</f>
        <v>3357</v>
      </c>
      <c r="D28" s="195">
        <f t="shared" si="0"/>
        <v>24235</v>
      </c>
      <c r="E28" s="80"/>
      <c r="F28" s="195">
        <f>698+3230304</f>
        <v>3231002</v>
      </c>
      <c r="G28" s="195">
        <f>3981+354173</f>
        <v>358154</v>
      </c>
      <c r="H28" s="195">
        <f t="shared" si="1"/>
        <v>3589156</v>
      </c>
      <c r="I28" s="80"/>
      <c r="J28" s="37">
        <f>0+0</f>
        <v>0</v>
      </c>
      <c r="K28" s="195">
        <f>0.24+483.306</f>
        <v>483.54599999999999</v>
      </c>
      <c r="L28" s="195">
        <f t="shared" si="3"/>
        <v>483.54599999999999</v>
      </c>
    </row>
    <row r="29" spans="1:12" x14ac:dyDescent="0.25">
      <c r="A29" s="31">
        <v>2007</v>
      </c>
      <c r="B29" s="64">
        <v>31859</v>
      </c>
      <c r="C29" s="64">
        <v>3276</v>
      </c>
      <c r="D29" s="64">
        <f t="shared" si="0"/>
        <v>35135</v>
      </c>
      <c r="E29" s="53"/>
      <c r="F29" s="64">
        <v>4535076</v>
      </c>
      <c r="G29" s="64">
        <v>292374</v>
      </c>
      <c r="H29" s="64">
        <f t="shared" si="1"/>
        <v>4827450</v>
      </c>
      <c r="I29" s="53"/>
      <c r="J29" s="32">
        <v>1.069</v>
      </c>
      <c r="K29" s="64">
        <v>233.11</v>
      </c>
      <c r="L29" s="64">
        <f t="shared" si="3"/>
        <v>234.179</v>
      </c>
    </row>
    <row r="30" spans="1:12" x14ac:dyDescent="0.25">
      <c r="A30" s="36">
        <v>2008</v>
      </c>
      <c r="B30" s="195">
        <v>37490</v>
      </c>
      <c r="C30" s="195">
        <v>2728</v>
      </c>
      <c r="D30" s="195">
        <f t="shared" si="0"/>
        <v>40218</v>
      </c>
      <c r="E30" s="80"/>
      <c r="F30" s="195">
        <v>5269872</v>
      </c>
      <c r="G30" s="195">
        <v>215996</v>
      </c>
      <c r="H30" s="195">
        <f t="shared" si="1"/>
        <v>5485868</v>
      </c>
      <c r="I30" s="80"/>
      <c r="J30" s="37">
        <v>0</v>
      </c>
      <c r="K30" s="195">
        <v>184</v>
      </c>
      <c r="L30" s="195">
        <f t="shared" si="3"/>
        <v>184</v>
      </c>
    </row>
    <row r="31" spans="1:12" x14ac:dyDescent="0.25">
      <c r="A31" s="31">
        <v>2009</v>
      </c>
      <c r="B31" s="64">
        <v>36212</v>
      </c>
      <c r="C31" s="64">
        <v>2006</v>
      </c>
      <c r="D31" s="64">
        <f t="shared" si="0"/>
        <v>38218</v>
      </c>
      <c r="E31" s="53"/>
      <c r="F31" s="64">
        <v>4427785</v>
      </c>
      <c r="G31" s="64">
        <v>127920</v>
      </c>
      <c r="H31" s="64">
        <f t="shared" si="1"/>
        <v>4555705</v>
      </c>
      <c r="I31" s="53"/>
      <c r="J31" s="32">
        <v>3</v>
      </c>
      <c r="K31" s="64">
        <v>68</v>
      </c>
      <c r="L31" s="64">
        <f t="shared" si="3"/>
        <v>71</v>
      </c>
    </row>
    <row r="32" spans="1:12" x14ac:dyDescent="0.25">
      <c r="A32" s="36">
        <v>2010</v>
      </c>
      <c r="B32" s="195">
        <v>33096</v>
      </c>
      <c r="C32" s="195">
        <v>10194</v>
      </c>
      <c r="D32" s="195">
        <f t="shared" si="0"/>
        <v>43290</v>
      </c>
      <c r="E32" s="80"/>
      <c r="F32" s="195">
        <v>4695022</v>
      </c>
      <c r="G32" s="195">
        <v>168703</v>
      </c>
      <c r="H32" s="195">
        <f t="shared" si="1"/>
        <v>4863725</v>
      </c>
      <c r="I32" s="80"/>
      <c r="J32" s="37">
        <v>0</v>
      </c>
      <c r="K32" s="195">
        <v>63</v>
      </c>
      <c r="L32" s="195">
        <f t="shared" si="3"/>
        <v>63</v>
      </c>
    </row>
    <row r="33" spans="1:12" x14ac:dyDescent="0.25">
      <c r="A33" s="31">
        <v>2011</v>
      </c>
      <c r="B33" s="64">
        <v>20156</v>
      </c>
      <c r="C33" s="64">
        <f t="shared" ref="C33:C39" si="4">D33-B33</f>
        <v>7643</v>
      </c>
      <c r="D33" s="64">
        <v>27799</v>
      </c>
      <c r="E33" s="53"/>
      <c r="F33" s="64">
        <v>2861957</v>
      </c>
      <c r="G33" s="64">
        <f t="shared" ref="G33:G40" si="5">H33-F33</f>
        <v>146020</v>
      </c>
      <c r="H33" s="64">
        <v>3007977</v>
      </c>
      <c r="I33" s="53"/>
      <c r="J33" s="32">
        <v>1</v>
      </c>
      <c r="K33" s="64">
        <v>62.494999999999997</v>
      </c>
      <c r="L33" s="64">
        <v>62.496000000000002</v>
      </c>
    </row>
    <row r="34" spans="1:12" x14ac:dyDescent="0.25">
      <c r="A34" s="36">
        <v>2012</v>
      </c>
      <c r="B34" s="195">
        <v>19422</v>
      </c>
      <c r="C34" s="195">
        <f t="shared" si="4"/>
        <v>8252</v>
      </c>
      <c r="D34" s="195">
        <v>27674</v>
      </c>
      <c r="E34" s="80"/>
      <c r="F34" s="195">
        <v>2728435</v>
      </c>
      <c r="G34" s="195">
        <f t="shared" si="5"/>
        <v>116247</v>
      </c>
      <c r="H34" s="195">
        <v>2844682</v>
      </c>
      <c r="I34" s="80"/>
      <c r="J34" s="37">
        <v>0</v>
      </c>
      <c r="K34" s="195">
        <v>135.27000000000001</v>
      </c>
      <c r="L34" s="195">
        <v>135.27000000000001</v>
      </c>
    </row>
    <row r="35" spans="1:12" x14ac:dyDescent="0.25">
      <c r="A35" s="31">
        <v>2013</v>
      </c>
      <c r="B35" s="64">
        <v>19372</v>
      </c>
      <c r="C35" s="64">
        <f t="shared" si="4"/>
        <v>7678</v>
      </c>
      <c r="D35" s="64">
        <v>27050</v>
      </c>
      <c r="E35" s="53"/>
      <c r="F35" s="64">
        <v>2631628</v>
      </c>
      <c r="G35" s="64">
        <f t="shared" si="5"/>
        <v>105240</v>
      </c>
      <c r="H35" s="64">
        <v>2736868</v>
      </c>
      <c r="I35" s="53"/>
      <c r="J35" s="32">
        <v>0</v>
      </c>
      <c r="K35" s="64">
        <f t="shared" ref="K35:K41" si="6">L35-J35</f>
        <v>45.808999999999997</v>
      </c>
      <c r="L35" s="64">
        <v>45.808999999999997</v>
      </c>
    </row>
    <row r="36" spans="1:12" x14ac:dyDescent="0.25">
      <c r="A36" s="36">
        <v>2014</v>
      </c>
      <c r="B36" s="195">
        <v>14025</v>
      </c>
      <c r="C36" s="195">
        <f t="shared" si="4"/>
        <v>6604</v>
      </c>
      <c r="D36" s="195">
        <v>20629</v>
      </c>
      <c r="E36" s="80"/>
      <c r="F36" s="195">
        <v>2063390</v>
      </c>
      <c r="G36" s="195">
        <f t="shared" si="5"/>
        <v>97256</v>
      </c>
      <c r="H36" s="195">
        <v>2160646</v>
      </c>
      <c r="I36" s="80"/>
      <c r="J36" s="37">
        <v>0</v>
      </c>
      <c r="K36" s="195">
        <f t="shared" si="6"/>
        <v>90.364000000000004</v>
      </c>
      <c r="L36" s="195">
        <v>90.364000000000004</v>
      </c>
    </row>
    <row r="37" spans="1:12" x14ac:dyDescent="0.25">
      <c r="A37" s="31">
        <v>2015</v>
      </c>
      <c r="B37" s="64">
        <v>10412</v>
      </c>
      <c r="C37" s="64">
        <f t="shared" si="4"/>
        <v>9117</v>
      </c>
      <c r="D37" s="64">
        <v>19529</v>
      </c>
      <c r="E37" s="53"/>
      <c r="F37" s="64">
        <v>1679725</v>
      </c>
      <c r="G37" s="64">
        <f t="shared" si="5"/>
        <v>95601</v>
      </c>
      <c r="H37" s="64">
        <v>1775326</v>
      </c>
      <c r="I37" s="53"/>
      <c r="J37" s="32">
        <v>0.28999999999999998</v>
      </c>
      <c r="K37" s="64">
        <f t="shared" si="6"/>
        <v>95.878</v>
      </c>
      <c r="L37" s="64">
        <v>96.168000000000006</v>
      </c>
    </row>
    <row r="38" spans="1:12" x14ac:dyDescent="0.25">
      <c r="A38" s="36">
        <v>2016</v>
      </c>
      <c r="B38" s="195">
        <v>9180</v>
      </c>
      <c r="C38" s="196">
        <f t="shared" si="4"/>
        <v>9635</v>
      </c>
      <c r="D38" s="195">
        <v>18815</v>
      </c>
      <c r="E38" s="80"/>
      <c r="F38" s="195">
        <v>1510016</v>
      </c>
      <c r="G38" s="195">
        <f t="shared" si="5"/>
        <v>154747</v>
      </c>
      <c r="H38" s="195">
        <v>1664763</v>
      </c>
      <c r="I38" s="80"/>
      <c r="J38" s="37">
        <v>7.0000000000000007E-2</v>
      </c>
      <c r="K38" s="196">
        <f t="shared" si="6"/>
        <v>51.293999999999997</v>
      </c>
      <c r="L38" s="195">
        <v>51.363999999999997</v>
      </c>
    </row>
    <row r="39" spans="1:12" x14ac:dyDescent="0.25">
      <c r="A39" s="42">
        <v>2017</v>
      </c>
      <c r="B39" s="197">
        <v>10913</v>
      </c>
      <c r="C39" s="198">
        <f t="shared" si="4"/>
        <v>8339</v>
      </c>
      <c r="D39" s="197">
        <v>19252</v>
      </c>
      <c r="E39" s="102"/>
      <c r="F39" s="197">
        <v>1793846</v>
      </c>
      <c r="G39" s="197">
        <f t="shared" si="5"/>
        <v>152970</v>
      </c>
      <c r="H39" s="197">
        <v>1946816</v>
      </c>
      <c r="I39" s="102"/>
      <c r="J39" s="43">
        <v>0</v>
      </c>
      <c r="K39" s="198">
        <f t="shared" si="6"/>
        <v>125.501</v>
      </c>
      <c r="L39" s="197">
        <v>125.501</v>
      </c>
    </row>
    <row r="40" spans="1:12" x14ac:dyDescent="0.25">
      <c r="A40" s="36">
        <v>2018</v>
      </c>
      <c r="B40" s="195">
        <v>11607</v>
      </c>
      <c r="C40" s="196">
        <f>D40-B40</f>
        <v>6263</v>
      </c>
      <c r="D40" s="195">
        <v>17870</v>
      </c>
      <c r="E40" s="80"/>
      <c r="F40" s="195">
        <v>1909857</v>
      </c>
      <c r="G40" s="195">
        <f t="shared" si="5"/>
        <v>110019</v>
      </c>
      <c r="H40" s="195">
        <v>2019876</v>
      </c>
      <c r="I40" s="80"/>
      <c r="J40" s="37">
        <v>0.37</v>
      </c>
      <c r="K40" s="196">
        <f t="shared" si="6"/>
        <v>132.59199999999998</v>
      </c>
      <c r="L40" s="195">
        <v>132.96199999999999</v>
      </c>
    </row>
    <row r="41" spans="1:12" x14ac:dyDescent="0.25">
      <c r="A41" s="47">
        <v>2019</v>
      </c>
      <c r="B41" s="199">
        <v>10963</v>
      </c>
      <c r="C41" s="200">
        <f>D41-B41</f>
        <v>7290</v>
      </c>
      <c r="D41" s="199">
        <v>18253</v>
      </c>
      <c r="E41" s="107"/>
      <c r="F41" s="199">
        <v>1804761</v>
      </c>
      <c r="G41" s="199">
        <f>H41-F41</f>
        <v>128288</v>
      </c>
      <c r="H41" s="199">
        <v>1933049</v>
      </c>
      <c r="I41" s="107"/>
      <c r="J41" s="48">
        <v>0</v>
      </c>
      <c r="K41" s="200">
        <f t="shared" si="6"/>
        <v>78</v>
      </c>
      <c r="L41" s="199">
        <v>78</v>
      </c>
    </row>
    <row r="42" spans="1:12" x14ac:dyDescent="0.25">
      <c r="A42" s="81"/>
      <c r="B42" s="201"/>
      <c r="C42" s="201"/>
      <c r="D42" s="51"/>
      <c r="E42" s="16"/>
      <c r="F42" s="201"/>
      <c r="G42" s="201"/>
      <c r="H42" s="201"/>
      <c r="I42" s="16"/>
      <c r="J42" s="16"/>
      <c r="K42" s="16"/>
      <c r="L42" s="16"/>
    </row>
    <row r="43" spans="1:12" ht="15" customHeight="1" x14ac:dyDescent="0.3">
      <c r="A43" s="52" t="s">
        <v>53</v>
      </c>
      <c r="B43" s="64"/>
      <c r="C43" s="64"/>
      <c r="D43" s="64"/>
      <c r="E43" s="53"/>
      <c r="F43" s="64"/>
      <c r="G43" s="64"/>
      <c r="H43" s="64"/>
      <c r="I43" s="53"/>
      <c r="J43" s="64"/>
      <c r="K43" s="64"/>
      <c r="L43" s="64"/>
    </row>
    <row r="44" spans="1:12" ht="15" customHeight="1" x14ac:dyDescent="0.25">
      <c r="A44" s="336" t="s">
        <v>155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</row>
    <row r="45" spans="1:12" x14ac:dyDescent="0.25">
      <c r="A45" s="84" t="s">
        <v>65</v>
      </c>
    </row>
    <row r="46" spans="1:12" x14ac:dyDescent="0.25">
      <c r="A46" s="84" t="s">
        <v>66</v>
      </c>
    </row>
  </sheetData>
  <mergeCells count="1">
    <mergeCell ref="A44:L44"/>
  </mergeCells>
  <pageMargins left="0.19685039370078741" right="0.19685039370078741" top="0.55118110236220474" bottom="0" header="0" footer="0"/>
  <pageSetup paperSize="9" orientation="portrait" r:id="rId1"/>
  <headerFooter alignWithMargins="0"/>
  <ignoredErrors>
    <ignoredError sqref="B19:L42 L9: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17</vt:i4>
      </vt:variant>
      <vt:variant>
        <vt:lpstr>Intervals amb nom</vt:lpstr>
      </vt:variant>
      <vt:variant>
        <vt:i4>7</vt:i4>
      </vt:variant>
    </vt:vector>
  </HeadingPairs>
  <TitlesOfParts>
    <vt:vector size="24" baseType="lpstr">
      <vt:lpstr>índex 6.12</vt:lpstr>
      <vt:lpstr>6.12.1</vt:lpstr>
      <vt:lpstr>6.12.2</vt:lpstr>
      <vt:lpstr>6.12.3</vt:lpstr>
      <vt:lpstr>6.12.4</vt:lpstr>
      <vt:lpstr>6.12.5</vt:lpstr>
      <vt:lpstr>6.12.6</vt:lpstr>
      <vt:lpstr>6.12.7</vt:lpstr>
      <vt:lpstr>6.12.8</vt:lpstr>
      <vt:lpstr>6.12.9</vt:lpstr>
      <vt:lpstr>6.12.10</vt:lpstr>
      <vt:lpstr>6.12.11</vt:lpstr>
      <vt:lpstr>6.12.12</vt:lpstr>
      <vt:lpstr>6.12.13</vt:lpstr>
      <vt:lpstr>6.12.14</vt:lpstr>
      <vt:lpstr>6.12.15</vt:lpstr>
      <vt:lpstr>6.12.16</vt:lpstr>
      <vt:lpstr>'6.12.11'!Àrea_d'impressió</vt:lpstr>
      <vt:lpstr>'6.12.12'!Àrea_d'impressió</vt:lpstr>
      <vt:lpstr>'6.12.13'!Àrea_d'impressió</vt:lpstr>
      <vt:lpstr>'6.12.14'!Àrea_d'impressió</vt:lpstr>
      <vt:lpstr>'6.12.15'!Àrea_d'impressió</vt:lpstr>
      <vt:lpstr>'6.12.16'!Àrea_d'impressió</vt:lpstr>
      <vt:lpstr>'6.12.7'!Àrea_d'impressió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Anuari Estadístic 2019. Departament de Territori i Sostenibilitat. Transport i mobilitat. Aeroports i instal·lacions aeroportuàries</dc:title>
  <dc:creator>Generalitat de Catalunya. Departament de Territori i Sostenibilitat</dc:creator>
  <cp:keywords>Aeroports, passatgers, aeronaus, mercaderies</cp:keywords>
  <cp:lastModifiedBy>Castillo Salvo, Maria Isabel</cp:lastModifiedBy>
  <cp:lastPrinted>2021-04-15T12:34:55Z</cp:lastPrinted>
  <dcterms:created xsi:type="dcterms:W3CDTF">2021-04-15T11:27:30Z</dcterms:created>
  <dcterms:modified xsi:type="dcterms:W3CDTF">2021-04-15T12:36:32Z</dcterms:modified>
</cp:coreProperties>
</file>